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252" windowWidth="19980" windowHeight="7692" tabRatio="789"/>
  </bookViews>
  <sheets>
    <sheet name="Versiebeheer" sheetId="6" r:id="rId1"/>
    <sheet name="Uitgangspunten" sheetId="12" r:id="rId2"/>
    <sheet name="Voorbeeldsituaties" sheetId="11" r:id="rId3"/>
    <sheet name="Primo in-uitdienst" sheetId="1" r:id="rId4"/>
    <sheet name="Primo PT-wijziging" sheetId="7" r:id="rId5"/>
    <sheet name="Primo max grondslag" sheetId="8" r:id="rId6"/>
    <sheet name="Primo promotieperiodiek" sheetId="9" r:id="rId7"/>
    <sheet name="Primo uren&gt;100%" sheetId="10" r:id="rId8"/>
    <sheet name="Tijdvakken" sheetId="4" r:id="rId9"/>
    <sheet name="AOP-premie" sheetId="13" r:id="rId10"/>
    <sheet name="Oproepkrachten" sheetId="14" r:id="rId11"/>
    <sheet name="Netto DC-regeling" sheetId="15" r:id="rId12"/>
  </sheets>
  <definedNames>
    <definedName name="DLN_bijdrage">'Primo in-uitdienst'!$C$10</definedName>
    <definedName name="PRFranchise">'Primo in-uitdienst'!$C$7</definedName>
    <definedName name="PRMaxLoon">'Primo in-uitdienst'!$C$8</definedName>
    <definedName name="PRPremiePercentage">'Primo in-uitdienst'!$C$9</definedName>
    <definedName name="PRTijdvakkenMax">'Primo in-uitdienst'!$I$10</definedName>
    <definedName name="TabelTijdvak">Tijdvakken!$B$1:$D$27</definedName>
    <definedName name="UDFranchise">#REF!</definedName>
    <definedName name="UDFranchiseDuurgerelateerd">#REF!</definedName>
    <definedName name="UDMaxDuur">#REF!</definedName>
    <definedName name="UDMaxLoon">#REF!</definedName>
    <definedName name="UDMaxLoonDuurgerelateerd">#REF!</definedName>
    <definedName name="UDPremiePercentage">#REF!</definedName>
    <definedName name="UDTijdvakkenMax">#REF!</definedName>
    <definedName name="UPFranchise">#REF!</definedName>
    <definedName name="UPMaxDuur">#REF!</definedName>
    <definedName name="UPMaxLoon">#REF!</definedName>
    <definedName name="UPNormWeek">#REF!</definedName>
    <definedName name="UPPremiePercentage">#REF!</definedName>
    <definedName name="UPTijdvakkenMax">#REF!</definedName>
  </definedNames>
  <calcPr calcId="145621"/>
</workbook>
</file>

<file path=xl/calcChain.xml><?xml version="1.0" encoding="utf-8"?>
<calcChain xmlns="http://schemas.openxmlformats.org/spreadsheetml/2006/main">
  <c r="D20" i="13" l="1"/>
  <c r="D9" i="13"/>
  <c r="B20" i="13"/>
  <c r="B18" i="13"/>
  <c r="B17" i="13"/>
  <c r="B9" i="13"/>
  <c r="C23" i="1" l="1"/>
  <c r="H23" i="1"/>
  <c r="N23" i="7" l="1"/>
  <c r="M23" i="7"/>
  <c r="L23" i="7"/>
  <c r="K23" i="7"/>
  <c r="O27" i="10" l="1"/>
  <c r="N27" i="10"/>
  <c r="M27" i="10"/>
  <c r="L27" i="10"/>
  <c r="K27" i="10"/>
  <c r="J27" i="10"/>
  <c r="I27" i="10"/>
  <c r="H27" i="10"/>
  <c r="G27" i="10"/>
  <c r="F27" i="10"/>
  <c r="E27" i="10"/>
  <c r="D27" i="10"/>
  <c r="C27" i="10"/>
  <c r="J15" i="10"/>
  <c r="G14" i="10"/>
  <c r="O13" i="10"/>
  <c r="O15" i="10" s="1"/>
  <c r="N13" i="10"/>
  <c r="N14" i="10" s="1"/>
  <c r="M13" i="10"/>
  <c r="M15" i="10" s="1"/>
  <c r="L13" i="10"/>
  <c r="L15" i="10" s="1"/>
  <c r="K13" i="10"/>
  <c r="K15" i="10" s="1"/>
  <c r="J13" i="10"/>
  <c r="J14" i="10" s="1"/>
  <c r="I13" i="10"/>
  <c r="I15" i="10" s="1"/>
  <c r="H13" i="10"/>
  <c r="H15" i="10" s="1"/>
  <c r="G13" i="10"/>
  <c r="G15" i="10" s="1"/>
  <c r="F13" i="10"/>
  <c r="F14" i="10" s="1"/>
  <c r="E13" i="10"/>
  <c r="E15" i="10" s="1"/>
  <c r="D13" i="10"/>
  <c r="D15" i="10" s="1"/>
  <c r="C13" i="10"/>
  <c r="C15" i="10" s="1"/>
  <c r="P27" i="9"/>
  <c r="N27" i="9"/>
  <c r="M27" i="9"/>
  <c r="L27" i="9"/>
  <c r="K27" i="9"/>
  <c r="J27" i="9"/>
  <c r="I27" i="9"/>
  <c r="H27" i="9"/>
  <c r="G27" i="9"/>
  <c r="F27" i="9"/>
  <c r="E27" i="9"/>
  <c r="D27" i="9"/>
  <c r="C27" i="9"/>
  <c r="N13" i="9"/>
  <c r="N15" i="9" s="1"/>
  <c r="M13" i="9"/>
  <c r="M14" i="9" s="1"/>
  <c r="L13" i="9"/>
  <c r="L15" i="9" s="1"/>
  <c r="K13" i="9"/>
  <c r="J13" i="9"/>
  <c r="J15" i="9" s="1"/>
  <c r="I13" i="9"/>
  <c r="I14" i="9" s="1"/>
  <c r="H13" i="9"/>
  <c r="H15" i="9" s="1"/>
  <c r="G13" i="9"/>
  <c r="F13" i="9"/>
  <c r="F15" i="9" s="1"/>
  <c r="E13" i="9"/>
  <c r="E14" i="9" s="1"/>
  <c r="D13" i="9"/>
  <c r="D15" i="9" s="1"/>
  <c r="C13" i="9"/>
  <c r="O27" i="8"/>
  <c r="N27" i="8"/>
  <c r="M27" i="8"/>
  <c r="L27" i="8"/>
  <c r="K27" i="8"/>
  <c r="J27" i="8"/>
  <c r="I27" i="8"/>
  <c r="H27" i="8"/>
  <c r="G27" i="8"/>
  <c r="F27" i="8"/>
  <c r="E27" i="8"/>
  <c r="D27" i="8"/>
  <c r="C27" i="8"/>
  <c r="K14" i="8"/>
  <c r="O13" i="8"/>
  <c r="O15" i="8" s="1"/>
  <c r="N13" i="8"/>
  <c r="N14" i="8" s="1"/>
  <c r="M13" i="8"/>
  <c r="M15" i="8" s="1"/>
  <c r="L13" i="8"/>
  <c r="L15" i="8" s="1"/>
  <c r="K13" i="8"/>
  <c r="K15" i="8" s="1"/>
  <c r="J13" i="8"/>
  <c r="J14" i="8" s="1"/>
  <c r="I13" i="8"/>
  <c r="I15" i="8" s="1"/>
  <c r="H13" i="8"/>
  <c r="H15" i="8" s="1"/>
  <c r="G13" i="8"/>
  <c r="G15" i="8" s="1"/>
  <c r="F13" i="8"/>
  <c r="F14" i="8" s="1"/>
  <c r="E13" i="8"/>
  <c r="E15" i="8" s="1"/>
  <c r="D13" i="8"/>
  <c r="D15" i="8" s="1"/>
  <c r="C13" i="8"/>
  <c r="C15" i="8" s="1"/>
  <c r="O27" i="7"/>
  <c r="N27" i="7"/>
  <c r="M27" i="7"/>
  <c r="L27" i="7"/>
  <c r="K27" i="7"/>
  <c r="J27" i="7"/>
  <c r="I27" i="7"/>
  <c r="H27" i="7"/>
  <c r="G27" i="7"/>
  <c r="F27" i="7"/>
  <c r="E27" i="7"/>
  <c r="D27" i="7"/>
  <c r="C27" i="7"/>
  <c r="I14" i="7"/>
  <c r="O13" i="7"/>
  <c r="O15" i="7" s="1"/>
  <c r="N13" i="7"/>
  <c r="N14" i="7" s="1"/>
  <c r="M13" i="7"/>
  <c r="M15" i="7" s="1"/>
  <c r="L13" i="7"/>
  <c r="L15" i="7" s="1"/>
  <c r="K13" i="7"/>
  <c r="K15" i="7" s="1"/>
  <c r="J13" i="7"/>
  <c r="J14" i="7" s="1"/>
  <c r="I13" i="7"/>
  <c r="I15" i="7" s="1"/>
  <c r="H13" i="7"/>
  <c r="H15" i="7" s="1"/>
  <c r="G13" i="7"/>
  <c r="G15" i="7" s="1"/>
  <c r="F13" i="7"/>
  <c r="F14" i="7" s="1"/>
  <c r="E13" i="7"/>
  <c r="E15" i="7" s="1"/>
  <c r="D13" i="7"/>
  <c r="D15" i="7" s="1"/>
  <c r="C13" i="7"/>
  <c r="C15" i="7" s="1"/>
  <c r="C14" i="10" l="1"/>
  <c r="F15" i="10"/>
  <c r="F18" i="10" s="1"/>
  <c r="K14" i="10"/>
  <c r="N15" i="10"/>
  <c r="O14" i="10"/>
  <c r="N15" i="8"/>
  <c r="O14" i="8"/>
  <c r="C14" i="8"/>
  <c r="F15" i="8"/>
  <c r="G14" i="8"/>
  <c r="J15" i="8"/>
  <c r="K14" i="7"/>
  <c r="E14" i="7"/>
  <c r="M14" i="7"/>
  <c r="M18" i="7" s="1"/>
  <c r="C14" i="7"/>
  <c r="C17" i="7" s="1"/>
  <c r="C29" i="7" s="1"/>
  <c r="C30" i="7" s="1"/>
  <c r="C31" i="7" s="1"/>
  <c r="G14" i="7"/>
  <c r="G18" i="7" s="1"/>
  <c r="O14" i="7"/>
  <c r="J18" i="10"/>
  <c r="N18" i="10"/>
  <c r="C18" i="10"/>
  <c r="C17" i="10"/>
  <c r="C29" i="10" s="1"/>
  <c r="C30" i="10" s="1"/>
  <c r="C31" i="10" s="1"/>
  <c r="G18" i="10"/>
  <c r="G17" i="10"/>
  <c r="G29" i="10" s="1"/>
  <c r="G30" i="10" s="1"/>
  <c r="G31" i="10" s="1"/>
  <c r="K18" i="10"/>
  <c r="K17" i="10"/>
  <c r="K29" i="10" s="1"/>
  <c r="K30" i="10" s="1"/>
  <c r="K31" i="10" s="1"/>
  <c r="O18" i="10"/>
  <c r="O17" i="10"/>
  <c r="O29" i="10" s="1"/>
  <c r="O30" i="10" s="1"/>
  <c r="O31" i="10" s="1"/>
  <c r="D14" i="10"/>
  <c r="H14" i="10"/>
  <c r="H18" i="10" s="1"/>
  <c r="L14" i="10"/>
  <c r="J17" i="10"/>
  <c r="J29" i="10" s="1"/>
  <c r="J30" i="10" s="1"/>
  <c r="J31" i="10" s="1"/>
  <c r="N17" i="10"/>
  <c r="N29" i="10" s="1"/>
  <c r="N30" i="10" s="1"/>
  <c r="N31" i="10" s="1"/>
  <c r="E14" i="10"/>
  <c r="E17" i="10" s="1"/>
  <c r="E29" i="10" s="1"/>
  <c r="E30" i="10" s="1"/>
  <c r="E31" i="10" s="1"/>
  <c r="I14" i="10"/>
  <c r="I17" i="10" s="1"/>
  <c r="I29" i="10" s="1"/>
  <c r="I30" i="10" s="1"/>
  <c r="I31" i="10" s="1"/>
  <c r="M14" i="10"/>
  <c r="M17" i="10" s="1"/>
  <c r="M29" i="10" s="1"/>
  <c r="M30" i="10" s="1"/>
  <c r="M31" i="10" s="1"/>
  <c r="J14" i="9"/>
  <c r="J18" i="9" s="1"/>
  <c r="N14" i="9"/>
  <c r="N17" i="9" s="1"/>
  <c r="N29" i="9" s="1"/>
  <c r="N30" i="9" s="1"/>
  <c r="N31" i="9" s="1"/>
  <c r="I15" i="9"/>
  <c r="I18" i="9" s="1"/>
  <c r="E15" i="9"/>
  <c r="E17" i="9" s="1"/>
  <c r="E29" i="9" s="1"/>
  <c r="E30" i="9" s="1"/>
  <c r="E31" i="9" s="1"/>
  <c r="M15" i="9"/>
  <c r="M18" i="9" s="1"/>
  <c r="F14" i="9"/>
  <c r="F18" i="9" s="1"/>
  <c r="C15" i="9"/>
  <c r="C14" i="9"/>
  <c r="K15" i="9"/>
  <c r="K14" i="9"/>
  <c r="M17" i="9"/>
  <c r="M29" i="9" s="1"/>
  <c r="M30" i="9" s="1"/>
  <c r="M31" i="9" s="1"/>
  <c r="G15" i="9"/>
  <c r="G14" i="9"/>
  <c r="E18" i="9"/>
  <c r="D14" i="9"/>
  <c r="D18" i="9" s="1"/>
  <c r="H14" i="9"/>
  <c r="H18" i="9" s="1"/>
  <c r="L14" i="9"/>
  <c r="L17" i="9" s="1"/>
  <c r="L29" i="9" s="1"/>
  <c r="L30" i="9" s="1"/>
  <c r="L31" i="9" s="1"/>
  <c r="O18" i="8"/>
  <c r="O17" i="8"/>
  <c r="O29" i="8" s="1"/>
  <c r="O30" i="8" s="1"/>
  <c r="O31" i="8" s="1"/>
  <c r="F18" i="8"/>
  <c r="C18" i="8"/>
  <c r="K18" i="8"/>
  <c r="K17" i="8"/>
  <c r="K29" i="8" s="1"/>
  <c r="K30" i="8" s="1"/>
  <c r="K31" i="8" s="1"/>
  <c r="M18" i="8"/>
  <c r="J18" i="8"/>
  <c r="G18" i="8"/>
  <c r="G17" i="8"/>
  <c r="G29" i="8" s="1"/>
  <c r="G30" i="8" s="1"/>
  <c r="G31" i="8" s="1"/>
  <c r="K26" i="8"/>
  <c r="N18" i="8"/>
  <c r="D14" i="8"/>
  <c r="D18" i="8" s="1"/>
  <c r="H14" i="8"/>
  <c r="H17" i="8" s="1"/>
  <c r="H29" i="8" s="1"/>
  <c r="H30" i="8" s="1"/>
  <c r="H31" i="8" s="1"/>
  <c r="L14" i="8"/>
  <c r="L17" i="8" s="1"/>
  <c r="L29" i="8" s="1"/>
  <c r="L30" i="8" s="1"/>
  <c r="L31" i="8" s="1"/>
  <c r="F17" i="8"/>
  <c r="F29" i="8" s="1"/>
  <c r="F30" i="8" s="1"/>
  <c r="F31" i="8" s="1"/>
  <c r="J17" i="8"/>
  <c r="J29" i="8" s="1"/>
  <c r="J30" i="8" s="1"/>
  <c r="J31" i="8" s="1"/>
  <c r="N17" i="8"/>
  <c r="N29" i="8" s="1"/>
  <c r="N30" i="8" s="1"/>
  <c r="N31" i="8" s="1"/>
  <c r="E14" i="8"/>
  <c r="I14" i="8"/>
  <c r="I18" i="8" s="1"/>
  <c r="M14" i="8"/>
  <c r="M17" i="8" s="1"/>
  <c r="M29" i="8" s="1"/>
  <c r="M30" i="8" s="1"/>
  <c r="M31" i="8" s="1"/>
  <c r="C18" i="7"/>
  <c r="G17" i="7"/>
  <c r="G29" i="7" s="1"/>
  <c r="G30" i="7" s="1"/>
  <c r="G31" i="7" s="1"/>
  <c r="E18" i="7"/>
  <c r="E17" i="7"/>
  <c r="E29" i="7" s="1"/>
  <c r="E30" i="7" s="1"/>
  <c r="E31" i="7" s="1"/>
  <c r="I18" i="7"/>
  <c r="I17" i="7"/>
  <c r="I29" i="7" s="1"/>
  <c r="I30" i="7" s="1"/>
  <c r="I31" i="7" s="1"/>
  <c r="K18" i="7"/>
  <c r="K17" i="7"/>
  <c r="K29" i="7" s="1"/>
  <c r="K30" i="7" s="1"/>
  <c r="K31" i="7" s="1"/>
  <c r="O18" i="7"/>
  <c r="O17" i="7"/>
  <c r="O29" i="7" s="1"/>
  <c r="O30" i="7" s="1"/>
  <c r="O31" i="7" s="1"/>
  <c r="F15" i="7"/>
  <c r="J15" i="7"/>
  <c r="N15" i="7"/>
  <c r="D14" i="7"/>
  <c r="D17" i="7" s="1"/>
  <c r="D29" i="7" s="1"/>
  <c r="D30" i="7" s="1"/>
  <c r="D31" i="7" s="1"/>
  <c r="H14" i="7"/>
  <c r="L14" i="7"/>
  <c r="L17" i="7" s="1"/>
  <c r="L29" i="7" s="1"/>
  <c r="L30" i="7" s="1"/>
  <c r="L31" i="7" s="1"/>
  <c r="C27" i="1"/>
  <c r="F17" i="10" l="1"/>
  <c r="J17" i="9"/>
  <c r="J29" i="9" s="1"/>
  <c r="J30" i="9" s="1"/>
  <c r="J31" i="9" s="1"/>
  <c r="C17" i="8"/>
  <c r="C29" i="8" s="1"/>
  <c r="C30" i="8" s="1"/>
  <c r="C31" i="8" s="1"/>
  <c r="O26" i="8"/>
  <c r="C26" i="7"/>
  <c r="M17" i="7"/>
  <c r="M29" i="7" s="1"/>
  <c r="M30" i="7" s="1"/>
  <c r="M31" i="7" s="1"/>
  <c r="N18" i="9"/>
  <c r="I32" i="10"/>
  <c r="E32" i="10"/>
  <c r="M32" i="10"/>
  <c r="O32" i="10"/>
  <c r="M18" i="10"/>
  <c r="M26" i="10" s="1"/>
  <c r="M34" i="10" s="1"/>
  <c r="M38" i="10" s="1"/>
  <c r="E18" i="10"/>
  <c r="N32" i="10"/>
  <c r="H26" i="10"/>
  <c r="K26" i="10"/>
  <c r="C26" i="10"/>
  <c r="C34" i="10" s="1"/>
  <c r="C38" i="10" s="1"/>
  <c r="H17" i="10"/>
  <c r="H29" i="10" s="1"/>
  <c r="H30" i="10" s="1"/>
  <c r="H31" i="10" s="1"/>
  <c r="G32" i="10"/>
  <c r="G35" i="10" s="1"/>
  <c r="J32" i="10"/>
  <c r="K34" i="10"/>
  <c r="K38" i="10" s="1"/>
  <c r="K32" i="10"/>
  <c r="K35" i="10" s="1"/>
  <c r="C32" i="10"/>
  <c r="C35" i="10" s="1"/>
  <c r="N26" i="10"/>
  <c r="N34" i="10" s="1"/>
  <c r="N38" i="10" s="1"/>
  <c r="L18" i="10"/>
  <c r="D18" i="10"/>
  <c r="E26" i="10"/>
  <c r="E34" i="10" s="1"/>
  <c r="E38" i="10" s="1"/>
  <c r="O26" i="10"/>
  <c r="O34" i="10" s="1"/>
  <c r="J26" i="10"/>
  <c r="J34" i="10" s="1"/>
  <c r="J38" i="10" s="1"/>
  <c r="L17" i="10"/>
  <c r="L29" i="10" s="1"/>
  <c r="L30" i="10" s="1"/>
  <c r="L31" i="10" s="1"/>
  <c r="G26" i="10"/>
  <c r="G34" i="10" s="1"/>
  <c r="G38" i="10" s="1"/>
  <c r="I18" i="10"/>
  <c r="I26" i="10" s="1"/>
  <c r="I34" i="10" s="1"/>
  <c r="I38" i="10" s="1"/>
  <c r="D17" i="10"/>
  <c r="D29" i="10" s="1"/>
  <c r="D30" i="10" s="1"/>
  <c r="D31" i="10" s="1"/>
  <c r="I17" i="9"/>
  <c r="I29" i="9" s="1"/>
  <c r="I30" i="9" s="1"/>
  <c r="I31" i="9" s="1"/>
  <c r="E26" i="9"/>
  <c r="E34" i="9" s="1"/>
  <c r="E38" i="9" s="1"/>
  <c r="F17" i="9"/>
  <c r="F29" i="9" s="1"/>
  <c r="F30" i="9" s="1"/>
  <c r="F31" i="9" s="1"/>
  <c r="F32" i="9" s="1"/>
  <c r="H17" i="9"/>
  <c r="H29" i="9" s="1"/>
  <c r="H30" i="9" s="1"/>
  <c r="H31" i="9" s="1"/>
  <c r="H32" i="9" s="1"/>
  <c r="J26" i="9"/>
  <c r="J34" i="9" s="1"/>
  <c r="J38" i="9" s="1"/>
  <c r="L32" i="9"/>
  <c r="M32" i="9"/>
  <c r="C17" i="9"/>
  <c r="C29" i="9" s="1"/>
  <c r="C30" i="9" s="1"/>
  <c r="C31" i="9" s="1"/>
  <c r="C18" i="9"/>
  <c r="P17" i="9"/>
  <c r="P18" i="9"/>
  <c r="N32" i="9"/>
  <c r="H26" i="9"/>
  <c r="N26" i="9"/>
  <c r="N34" i="9" s="1"/>
  <c r="N38" i="9" s="1"/>
  <c r="K17" i="9"/>
  <c r="K29" i="9" s="1"/>
  <c r="K30" i="9" s="1"/>
  <c r="K31" i="9" s="1"/>
  <c r="K18" i="9"/>
  <c r="J32" i="9"/>
  <c r="J35" i="9" s="1"/>
  <c r="D17" i="9"/>
  <c r="D29" i="9" s="1"/>
  <c r="D30" i="9" s="1"/>
  <c r="D31" i="9" s="1"/>
  <c r="M26" i="9"/>
  <c r="M34" i="9" s="1"/>
  <c r="M38" i="9" s="1"/>
  <c r="E32" i="9"/>
  <c r="G17" i="9"/>
  <c r="G29" i="9" s="1"/>
  <c r="G30" i="9" s="1"/>
  <c r="G31" i="9" s="1"/>
  <c r="G18" i="9"/>
  <c r="L18" i="9"/>
  <c r="L26" i="9" s="1"/>
  <c r="L34" i="9" s="1"/>
  <c r="L38" i="9" s="1"/>
  <c r="L32" i="8"/>
  <c r="M32" i="8"/>
  <c r="E18" i="8"/>
  <c r="H32" i="8"/>
  <c r="H26" i="8"/>
  <c r="H34" i="8" s="1"/>
  <c r="H38" i="8" s="1"/>
  <c r="N26" i="8"/>
  <c r="E17" i="8"/>
  <c r="E29" i="8" s="1"/>
  <c r="E30" i="8" s="1"/>
  <c r="E31" i="8" s="1"/>
  <c r="C32" i="8"/>
  <c r="L18" i="8"/>
  <c r="G32" i="8"/>
  <c r="N34" i="8"/>
  <c r="N38" i="8" s="1"/>
  <c r="N32" i="8"/>
  <c r="N35" i="8" s="1"/>
  <c r="M26" i="8"/>
  <c r="M34" i="8" s="1"/>
  <c r="M38" i="8" s="1"/>
  <c r="J32" i="8"/>
  <c r="J26" i="8"/>
  <c r="J34" i="8" s="1"/>
  <c r="J38" i="8" s="1"/>
  <c r="D17" i="8"/>
  <c r="D29" i="8" s="1"/>
  <c r="D30" i="8" s="1"/>
  <c r="D31" i="8" s="1"/>
  <c r="L26" i="8"/>
  <c r="L34" i="8" s="1"/>
  <c r="L38" i="8" s="1"/>
  <c r="F32" i="8"/>
  <c r="F26" i="8"/>
  <c r="F34" i="8" s="1"/>
  <c r="F38" i="8" s="1"/>
  <c r="G26" i="8"/>
  <c r="G34" i="8" s="1"/>
  <c r="G38" i="8" s="1"/>
  <c r="I17" i="8"/>
  <c r="I29" i="8" s="1"/>
  <c r="I30" i="8" s="1"/>
  <c r="I31" i="8" s="1"/>
  <c r="K34" i="8"/>
  <c r="K38" i="8" s="1"/>
  <c r="K32" i="8"/>
  <c r="K35" i="8" s="1"/>
  <c r="H18" i="8"/>
  <c r="O34" i="8"/>
  <c r="O32" i="8"/>
  <c r="O35" i="8" s="1"/>
  <c r="I26" i="7"/>
  <c r="I34" i="7" s="1"/>
  <c r="I38" i="7" s="1"/>
  <c r="G26" i="7"/>
  <c r="G34" i="7" s="1"/>
  <c r="G38" i="7" s="1"/>
  <c r="E26" i="7"/>
  <c r="D32" i="7"/>
  <c r="F18" i="7"/>
  <c r="F17" i="7"/>
  <c r="N18" i="7"/>
  <c r="N17" i="7"/>
  <c r="O32" i="7"/>
  <c r="O26" i="7"/>
  <c r="O34" i="7" s="1"/>
  <c r="L32" i="7"/>
  <c r="J18" i="7"/>
  <c r="J17" i="7"/>
  <c r="M26" i="7"/>
  <c r="M34" i="7" s="1"/>
  <c r="M38" i="7" s="1"/>
  <c r="I32" i="7"/>
  <c r="K26" i="7"/>
  <c r="K34" i="7" s="1"/>
  <c r="K38" i="7" s="1"/>
  <c r="H18" i="7"/>
  <c r="G32" i="7"/>
  <c r="K32" i="7"/>
  <c r="H17" i="7"/>
  <c r="H29" i="7" s="1"/>
  <c r="H30" i="7" s="1"/>
  <c r="H31" i="7" s="1"/>
  <c r="M32" i="7"/>
  <c r="E32" i="7"/>
  <c r="E34" i="7"/>
  <c r="E38" i="7" s="1"/>
  <c r="L18" i="7"/>
  <c r="L26" i="7" s="1"/>
  <c r="L34" i="7" s="1"/>
  <c r="L38" i="7" s="1"/>
  <c r="D18" i="7"/>
  <c r="D26" i="7" s="1"/>
  <c r="D34" i="7" s="1"/>
  <c r="D38" i="7" s="1"/>
  <c r="C34" i="7"/>
  <c r="C38" i="7" s="1"/>
  <c r="C32" i="7"/>
  <c r="C35" i="7" s="1"/>
  <c r="O27" i="1"/>
  <c r="N27" i="1"/>
  <c r="M27" i="1"/>
  <c r="L27" i="1"/>
  <c r="K27" i="1"/>
  <c r="J27" i="1"/>
  <c r="I27" i="1"/>
  <c r="H27" i="1"/>
  <c r="G27" i="1"/>
  <c r="F27" i="1"/>
  <c r="E27" i="1"/>
  <c r="D27" i="1"/>
  <c r="D26" i="10" l="1"/>
  <c r="J35" i="10"/>
  <c r="F29" i="10"/>
  <c r="F30" i="10" s="1"/>
  <c r="F31" i="10" s="1"/>
  <c r="F26" i="10"/>
  <c r="E35" i="9"/>
  <c r="C35" i="8"/>
  <c r="C36" i="8" s="1"/>
  <c r="E26" i="8"/>
  <c r="C26" i="8"/>
  <c r="C34" i="8" s="1"/>
  <c r="C38" i="8" s="1"/>
  <c r="P30" i="9"/>
  <c r="P31" i="9" s="1"/>
  <c r="P29" i="9"/>
  <c r="I26" i="9"/>
  <c r="I34" i="9" s="1"/>
  <c r="I38" i="9" s="1"/>
  <c r="I32" i="9"/>
  <c r="D34" i="10"/>
  <c r="D38" i="10" s="1"/>
  <c r="D32" i="10"/>
  <c r="H34" i="10"/>
  <c r="H38" i="10" s="1"/>
  <c r="H32" i="10"/>
  <c r="H35" i="10" s="1"/>
  <c r="N35" i="10"/>
  <c r="O35" i="10"/>
  <c r="C36" i="10"/>
  <c r="E35" i="10"/>
  <c r="L32" i="10"/>
  <c r="L26" i="10"/>
  <c r="L34" i="10" s="1"/>
  <c r="L38" i="10" s="1"/>
  <c r="M35" i="10"/>
  <c r="I35" i="10"/>
  <c r="H34" i="9"/>
  <c r="H38" i="9" s="1"/>
  <c r="G26" i="9"/>
  <c r="G34" i="9" s="1"/>
  <c r="G38" i="9" s="1"/>
  <c r="D26" i="9"/>
  <c r="D34" i="9" s="1"/>
  <c r="D38" i="9" s="1"/>
  <c r="L35" i="9"/>
  <c r="N35" i="9"/>
  <c r="F26" i="9"/>
  <c r="F34" i="9" s="1"/>
  <c r="F38" i="9" s="1"/>
  <c r="C26" i="9"/>
  <c r="C34" i="9" s="1"/>
  <c r="C38" i="9" s="1"/>
  <c r="K32" i="9"/>
  <c r="H35" i="9"/>
  <c r="K26" i="9"/>
  <c r="K34" i="9" s="1"/>
  <c r="K38" i="9" s="1"/>
  <c r="C32" i="9"/>
  <c r="G32" i="9"/>
  <c r="D32" i="9"/>
  <c r="P32" i="9"/>
  <c r="M35" i="9"/>
  <c r="P26" i="9"/>
  <c r="P34" i="9" s="1"/>
  <c r="P38" i="9" s="1"/>
  <c r="D32" i="8"/>
  <c r="J35" i="8"/>
  <c r="G35" i="8"/>
  <c r="H35" i="8"/>
  <c r="I32" i="8"/>
  <c r="F35" i="8"/>
  <c r="E32" i="8"/>
  <c r="E35" i="8" s="1"/>
  <c r="E34" i="8"/>
  <c r="E38" i="8" s="1"/>
  <c r="M35" i="8"/>
  <c r="I26" i="8"/>
  <c r="I34" i="8" s="1"/>
  <c r="I38" i="8" s="1"/>
  <c r="D26" i="8"/>
  <c r="D34" i="8" s="1"/>
  <c r="D38" i="8" s="1"/>
  <c r="L35" i="8"/>
  <c r="E35" i="7"/>
  <c r="O35" i="7"/>
  <c r="G35" i="7"/>
  <c r="H26" i="7"/>
  <c r="H34" i="7" s="1"/>
  <c r="H38" i="7" s="1"/>
  <c r="M35" i="7"/>
  <c r="I35" i="7"/>
  <c r="H32" i="7"/>
  <c r="H35" i="7" s="1"/>
  <c r="F29" i="7"/>
  <c r="F30" i="7" s="1"/>
  <c r="F31" i="7" s="1"/>
  <c r="F26" i="7"/>
  <c r="K35" i="7"/>
  <c r="L35" i="7"/>
  <c r="J29" i="7"/>
  <c r="J30" i="7" s="1"/>
  <c r="J31" i="7" s="1"/>
  <c r="J26" i="7"/>
  <c r="N29" i="7"/>
  <c r="N30" i="7" s="1"/>
  <c r="N31" i="7" s="1"/>
  <c r="N26" i="7"/>
  <c r="C36" i="7"/>
  <c r="D35" i="7"/>
  <c r="O13" i="1"/>
  <c r="O14" i="1" s="1"/>
  <c r="N13" i="1"/>
  <c r="M13" i="1"/>
  <c r="M15" i="1" s="1"/>
  <c r="L13" i="1"/>
  <c r="L15" i="1" s="1"/>
  <c r="K13" i="1"/>
  <c r="K15" i="1" s="1"/>
  <c r="J13" i="1"/>
  <c r="J15" i="1" s="1"/>
  <c r="I13" i="1"/>
  <c r="I14" i="1" s="1"/>
  <c r="H13" i="1"/>
  <c r="G13" i="1"/>
  <c r="G15" i="1" s="1"/>
  <c r="F13" i="1"/>
  <c r="F14" i="1" s="1"/>
  <c r="E13" i="1"/>
  <c r="E14" i="1" s="1"/>
  <c r="D13" i="1"/>
  <c r="D14" i="1" s="1"/>
  <c r="C13" i="1"/>
  <c r="C14" i="1" s="1"/>
  <c r="F32" i="10" l="1"/>
  <c r="F35" i="10" s="1"/>
  <c r="F34" i="10"/>
  <c r="F38" i="10" s="1"/>
  <c r="L35" i="10"/>
  <c r="D35" i="10"/>
  <c r="D35" i="9"/>
  <c r="G35" i="9"/>
  <c r="I35" i="9"/>
  <c r="F35" i="9"/>
  <c r="C35" i="9"/>
  <c r="K35" i="9"/>
  <c r="P35" i="9"/>
  <c r="I35" i="8"/>
  <c r="D35" i="8"/>
  <c r="E36" i="7"/>
  <c r="D36" i="7"/>
  <c r="J34" i="7"/>
  <c r="J38" i="7" s="1"/>
  <c r="J32" i="7"/>
  <c r="J35" i="7" s="1"/>
  <c r="M36" i="7" s="1"/>
  <c r="F34" i="7"/>
  <c r="F38" i="7" s="1"/>
  <c r="F32" i="7"/>
  <c r="F35" i="7" s="1"/>
  <c r="H36" i="7"/>
  <c r="N34" i="7"/>
  <c r="N38" i="7" s="1"/>
  <c r="N32" i="7"/>
  <c r="N35" i="7" s="1"/>
  <c r="F15" i="1"/>
  <c r="F18" i="1" s="1"/>
  <c r="D15" i="1"/>
  <c r="D18" i="1" s="1"/>
  <c r="J14" i="1"/>
  <c r="J18" i="1" s="1"/>
  <c r="K14" i="1"/>
  <c r="I15" i="1"/>
  <c r="I17" i="1" s="1"/>
  <c r="I29" i="1" s="1"/>
  <c r="M14" i="1"/>
  <c r="O15" i="1"/>
  <c r="O18" i="1" s="1"/>
  <c r="C15" i="1"/>
  <c r="L14" i="1"/>
  <c r="H15" i="1"/>
  <c r="H14" i="1"/>
  <c r="N15" i="1"/>
  <c r="N14" i="1"/>
  <c r="E15" i="1"/>
  <c r="G14" i="1"/>
  <c r="M36" i="10" l="1"/>
  <c r="H36" i="10"/>
  <c r="G36" i="10"/>
  <c r="O36" i="10"/>
  <c r="J36" i="10"/>
  <c r="N36" i="10"/>
  <c r="F36" i="10"/>
  <c r="I36" i="10"/>
  <c r="K36" i="10"/>
  <c r="E36" i="10"/>
  <c r="L36" i="10"/>
  <c r="D36" i="10"/>
  <c r="M36" i="9"/>
  <c r="I36" i="9"/>
  <c r="E36" i="9"/>
  <c r="K36" i="9"/>
  <c r="C36" i="9"/>
  <c r="N36" i="9"/>
  <c r="F36" i="9"/>
  <c r="L36" i="9"/>
  <c r="H36" i="9"/>
  <c r="D36" i="9"/>
  <c r="P36" i="9"/>
  <c r="G36" i="9"/>
  <c r="J36" i="9"/>
  <c r="F36" i="8"/>
  <c r="O36" i="8"/>
  <c r="H36" i="8"/>
  <c r="M36" i="8"/>
  <c r="K36" i="8"/>
  <c r="D36" i="8"/>
  <c r="J36" i="8"/>
  <c r="L36" i="8"/>
  <c r="N36" i="8"/>
  <c r="I36" i="8"/>
  <c r="G36" i="8"/>
  <c r="E36" i="8"/>
  <c r="J36" i="7"/>
  <c r="G36" i="7"/>
  <c r="F36" i="7"/>
  <c r="L36" i="7"/>
  <c r="K36" i="7"/>
  <c r="N36" i="7"/>
  <c r="I36" i="7"/>
  <c r="O36" i="7"/>
  <c r="C18" i="1"/>
  <c r="C17" i="1"/>
  <c r="C29" i="1" s="1"/>
  <c r="F17" i="1"/>
  <c r="F29" i="1" s="1"/>
  <c r="K18" i="1"/>
  <c r="M18" i="1"/>
  <c r="L18" i="1"/>
  <c r="J17" i="1"/>
  <c r="J29" i="1" s="1"/>
  <c r="O17" i="1"/>
  <c r="O29" i="1" s="1"/>
  <c r="M17" i="1"/>
  <c r="M29" i="1" s="1"/>
  <c r="K17" i="1"/>
  <c r="K29" i="1" s="1"/>
  <c r="L17" i="1"/>
  <c r="L29" i="1" s="1"/>
  <c r="I18" i="1"/>
  <c r="I26" i="1" s="1"/>
  <c r="D17" i="1"/>
  <c r="D29" i="1" s="1"/>
  <c r="G18" i="1"/>
  <c r="G17" i="1"/>
  <c r="G29" i="1" s="1"/>
  <c r="H18" i="1"/>
  <c r="H17" i="1"/>
  <c r="H29" i="1" s="1"/>
  <c r="N18" i="1"/>
  <c r="N17" i="1"/>
  <c r="N29" i="1" s="1"/>
  <c r="E18" i="1"/>
  <c r="E17" i="1"/>
  <c r="E29" i="1" s="1"/>
  <c r="J26" i="1" l="1"/>
  <c r="L30" i="1"/>
  <c r="L31" i="1" s="1"/>
  <c r="K30" i="1"/>
  <c r="K31" i="1" s="1"/>
  <c r="M30" i="1"/>
  <c r="M31" i="1" s="1"/>
  <c r="F26" i="1"/>
  <c r="F30" i="1"/>
  <c r="F31" i="1" s="1"/>
  <c r="C30" i="1"/>
  <c r="C31" i="1" s="1"/>
  <c r="N26" i="1"/>
  <c r="C26" i="1"/>
  <c r="H26" i="1"/>
  <c r="E26" i="1"/>
  <c r="G26" i="1"/>
  <c r="L26" i="1"/>
  <c r="D30" i="1"/>
  <c r="D31" i="1" s="1"/>
  <c r="D26" i="1"/>
  <c r="O30" i="1"/>
  <c r="O31" i="1" s="1"/>
  <c r="O26" i="1"/>
  <c r="M26" i="1"/>
  <c r="I30" i="1"/>
  <c r="I31" i="1" s="1"/>
  <c r="K26" i="1"/>
  <c r="E30" i="1"/>
  <c r="E31" i="1" s="1"/>
  <c r="O32" i="1" l="1"/>
  <c r="O35" i="1" s="1"/>
  <c r="O34" i="1"/>
  <c r="F32" i="1"/>
  <c r="F35" i="1" s="1"/>
  <c r="F34" i="1"/>
  <c r="F38" i="1" s="1"/>
  <c r="D32" i="1"/>
  <c r="D35" i="1" s="1"/>
  <c r="D34" i="1"/>
  <c r="D38" i="1" s="1"/>
  <c r="L32" i="1"/>
  <c r="L35" i="1" s="1"/>
  <c r="L34" i="1"/>
  <c r="L38" i="1" s="1"/>
  <c r="E32" i="1"/>
  <c r="E35" i="1" s="1"/>
  <c r="E34" i="1"/>
  <c r="E38" i="1" s="1"/>
  <c r="I32" i="1"/>
  <c r="I35" i="1" s="1"/>
  <c r="I34" i="1"/>
  <c r="I38" i="1" s="1"/>
  <c r="K32" i="1"/>
  <c r="K35" i="1" s="1"/>
  <c r="K34" i="1"/>
  <c r="K38" i="1" s="1"/>
  <c r="M32" i="1"/>
  <c r="M35" i="1" s="1"/>
  <c r="M34" i="1"/>
  <c r="M38" i="1" s="1"/>
  <c r="C32" i="1"/>
  <c r="C35" i="1" s="1"/>
  <c r="C34" i="1"/>
  <c r="C38" i="1" s="1"/>
  <c r="J30" i="1"/>
  <c r="J31" i="1" s="1"/>
  <c r="N30" i="1"/>
  <c r="N31" i="1" s="1"/>
  <c r="H30" i="1"/>
  <c r="H31" i="1" s="1"/>
  <c r="G30" i="1"/>
  <c r="G31" i="1" s="1"/>
  <c r="D36" i="1" l="1"/>
  <c r="G32" i="1"/>
  <c r="G35" i="1" s="1"/>
  <c r="G36" i="1" s="1"/>
  <c r="G34" i="1"/>
  <c r="G38" i="1" s="1"/>
  <c r="H32" i="1"/>
  <c r="H35" i="1" s="1"/>
  <c r="H34" i="1"/>
  <c r="H38" i="1" s="1"/>
  <c r="N32" i="1"/>
  <c r="N35" i="1" s="1"/>
  <c r="N34" i="1"/>
  <c r="N38" i="1" s="1"/>
  <c r="J32" i="1"/>
  <c r="J35" i="1" s="1"/>
  <c r="J34" i="1"/>
  <c r="J38" i="1" s="1"/>
  <c r="C36" i="1"/>
  <c r="E36" i="1"/>
  <c r="F36" i="1"/>
  <c r="J36" i="1" l="1"/>
  <c r="O36" i="1"/>
  <c r="K36" i="1"/>
  <c r="I36" i="1"/>
  <c r="M36" i="1"/>
  <c r="N36" i="1"/>
  <c r="H36" i="1"/>
  <c r="L36" i="1"/>
</calcChain>
</file>

<file path=xl/sharedStrings.xml><?xml version="1.0" encoding="utf-8"?>
<sst xmlns="http://schemas.openxmlformats.org/spreadsheetml/2006/main" count="363" uniqueCount="193">
  <si>
    <t>Tijdvak</t>
  </si>
  <si>
    <t>Aanvang</t>
  </si>
  <si>
    <t>Einde</t>
  </si>
  <si>
    <t>Tijdvak aanvang</t>
  </si>
  <si>
    <t>Tijdvak einde</t>
  </si>
  <si>
    <t>IKV aanvang</t>
  </si>
  <si>
    <t>IKV einde</t>
  </si>
  <si>
    <t>Januari</t>
  </si>
  <si>
    <t>Februari</t>
  </si>
  <si>
    <t>Maart</t>
  </si>
  <si>
    <t>April</t>
  </si>
  <si>
    <t>Mei</t>
  </si>
  <si>
    <t>Juni</t>
  </si>
  <si>
    <t>Juli</t>
  </si>
  <si>
    <t>Augustus</t>
  </si>
  <si>
    <t>September</t>
  </si>
  <si>
    <t>Oktober</t>
  </si>
  <si>
    <t>November</t>
  </si>
  <si>
    <t>December</t>
  </si>
  <si>
    <t>Periode 1</t>
  </si>
  <si>
    <t>Periode 2</t>
  </si>
  <si>
    <t>Periode 3</t>
  </si>
  <si>
    <t>Periode 4</t>
  </si>
  <si>
    <t>Periode 5</t>
  </si>
  <si>
    <t>Periode 6</t>
  </si>
  <si>
    <t>Periode 7</t>
  </si>
  <si>
    <t>Periode 8</t>
  </si>
  <si>
    <t>Periode 9</t>
  </si>
  <si>
    <t>Periode 10</t>
  </si>
  <si>
    <t>Periode 11</t>
  </si>
  <si>
    <t>Periode 12</t>
  </si>
  <si>
    <t>Periode 13</t>
  </si>
  <si>
    <t>Periode aanvang</t>
  </si>
  <si>
    <t>Periode einde</t>
  </si>
  <si>
    <t>Regelingloon</t>
  </si>
  <si>
    <t>Norm uren</t>
  </si>
  <si>
    <t>Parttime-percentage</t>
  </si>
  <si>
    <t>Duur periode</t>
  </si>
  <si>
    <t>Regeling</t>
  </si>
  <si>
    <t>Franchise</t>
  </si>
  <si>
    <t>Max loon</t>
  </si>
  <si>
    <t>Premie-percentage</t>
  </si>
  <si>
    <t>Deeltijdfactor periode</t>
  </si>
  <si>
    <t>Contracturen</t>
  </si>
  <si>
    <t>Premie periode</t>
  </si>
  <si>
    <t>Premie totaal</t>
  </si>
  <si>
    <t>Maandelijks</t>
  </si>
  <si>
    <t>Maandelijks1</t>
  </si>
  <si>
    <t>Maandelijks2</t>
  </si>
  <si>
    <t>Maandelijks3</t>
  </si>
  <si>
    <t>Maandelijks4</t>
  </si>
  <si>
    <t>Maandelijks5</t>
  </si>
  <si>
    <t>Maandelijks6</t>
  </si>
  <si>
    <t>Maandelijks7</t>
  </si>
  <si>
    <t>Maandelijks8</t>
  </si>
  <si>
    <t>Maandelijks9</t>
  </si>
  <si>
    <t>Maandelijks10</t>
  </si>
  <si>
    <t>Maandelijks11</t>
  </si>
  <si>
    <t>Maandelijks12</t>
  </si>
  <si>
    <t>4-wekelijks1</t>
  </si>
  <si>
    <t>4-wekelijks2</t>
  </si>
  <si>
    <t>4-wekelijks3</t>
  </si>
  <si>
    <t>4-wekelijks4</t>
  </si>
  <si>
    <t>4-wekelijks5</t>
  </si>
  <si>
    <t>4-wekelijks6</t>
  </si>
  <si>
    <t>4-wekelijks7</t>
  </si>
  <si>
    <t>4-wekelijks8</t>
  </si>
  <si>
    <t>4-wekelijks9</t>
  </si>
  <si>
    <t>4-wekelijks10</t>
  </si>
  <si>
    <t>4-wekelijks11</t>
  </si>
  <si>
    <t>4-wekelijks12</t>
  </si>
  <si>
    <t>4-wekelijks13</t>
  </si>
  <si>
    <t>Hulpkolom</t>
  </si>
  <si>
    <t>Premie jaarbasis</t>
  </si>
  <si>
    <t>Tijdvakken</t>
  </si>
  <si>
    <t>Max tijdvakken</t>
  </si>
  <si>
    <t>Omschrijving</t>
  </si>
  <si>
    <t>Datum</t>
  </si>
  <si>
    <t>Wie?</t>
  </si>
  <si>
    <t>Versie</t>
  </si>
  <si>
    <t>Grondslag periode</t>
  </si>
  <si>
    <t>= aanlevering UPA</t>
  </si>
  <si>
    <t>= invulvelden rekensheet</t>
  </si>
  <si>
    <t>Loon jaarbasis FT</t>
  </si>
  <si>
    <t>Grondslag jaarbasis FT</t>
  </si>
  <si>
    <t>Grondslag jaarbasis PT</t>
  </si>
  <si>
    <t>Aangeleverde periode</t>
  </si>
  <si>
    <t>Deelnemerbijdrage</t>
  </si>
  <si>
    <t>0.1</t>
  </si>
  <si>
    <t>Initiële opzet</t>
  </si>
  <si>
    <t>Johan Mensing</t>
  </si>
  <si>
    <t>CASE</t>
  </si>
  <si>
    <t>Indienstreding halverwege de maand en uitdiensttreding halverwege de maand.</t>
  </si>
  <si>
    <t>DLN-bijdrage (% van grondslag)</t>
  </si>
  <si>
    <t>Salaris boven max loon</t>
  </si>
  <si>
    <t>Promotieperiodiek (€ 500,00) in augustus</t>
  </si>
  <si>
    <t>Werknemer krijgt per 1-8 een promotieperiodiek. Deze wordt pas meegeteld in het salaris van 1-1 volgend op.</t>
  </si>
  <si>
    <t>Op basis van uren Ptpercentage &gt; 100%</t>
  </si>
  <si>
    <t>Norm is 36uur per week. Medewerker werkt 38 uur per week (structureel). Dit betekent dat de medewerker 105% zou werken. WG dient aan uitvoerder het regelingloon door te geven dat hoort bij 38 uur, parttimepercentage moet als 100% worden doorgegeven</t>
  </si>
  <si>
    <t>Verloonde uren</t>
  </si>
  <si>
    <t>Parttimepercentage</t>
  </si>
  <si>
    <t>(52 * 36 / 12) = 156 uur</t>
  </si>
  <si>
    <t>contractueel afgesproken PT%</t>
  </si>
  <si>
    <t>Parttime medewerker met vast contract van 18 uur</t>
  </si>
  <si>
    <t>Parttime medewerker met vast contract van 18 uur, die tijdelijk de hele maand 36 uur heeft gewerkt</t>
  </si>
  <si>
    <t>contractueel overeengekomen PT%, exclusief meeruren, overwerk, onbetaald (ouderschaps)verlof etc</t>
  </si>
  <si>
    <t>Oproepkracht die in januari 78 uur heeft gewerkt</t>
  </si>
  <si>
    <t>Oproepkracht die in februari 0 uur heeft gewerkt</t>
  </si>
  <si>
    <t>Fulltime medewerker die 20% ouderschapsverlof opneemt</t>
  </si>
  <si>
    <t>80% of 100%?</t>
  </si>
  <si>
    <t>nog uit te zoeken door Achmea Pensioenservices</t>
  </si>
  <si>
    <t>Percentage verlof?</t>
  </si>
  <si>
    <t>Fulltime medewerker die 20% ouderschapsverlof opneemt waarvan 50% wordt doorbetaald</t>
  </si>
  <si>
    <t>124,8 of 140,4?</t>
  </si>
  <si>
    <t>90% of 100%?</t>
  </si>
  <si>
    <t>Fulltime medewerker met een contract van 36 uur per week</t>
  </si>
  <si>
    <t>Voorbeeldsituaties en gegevensaanlevering</t>
  </si>
  <si>
    <t>0.2</t>
  </si>
  <si>
    <t>Voorbeeldsituaties toegevoegd</t>
  </si>
  <si>
    <t>Uitgangspunten</t>
  </si>
  <si>
    <t>- SBZ Pensioen is een primo fonds</t>
  </si>
  <si>
    <t>- Premie en aanspraak- berekening vindt plaats op basis van het fulltime jaarsalaris (incl. vakantiegeld, eindejaarsuitkering en vaste toeslagen) per 1-1</t>
  </si>
  <si>
    <t xml:space="preserve">- Incidentele bonussen worden niet meegerekend in het pensioengevend salaris </t>
  </si>
  <si>
    <t>- In de berekening van premie en aanspraken wordt uitgegaan van daadwerkelijke kalenderdagen per maand</t>
  </si>
  <si>
    <t>Parttime wijziging per 1-9</t>
  </si>
  <si>
    <t>Fulltime medewerker die indienst komt en 17 van de 31 dagen werkt</t>
  </si>
  <si>
    <t>(156 * 17 / 31) = 85,55 uur</t>
  </si>
  <si>
    <t>Bijzondere situaties</t>
  </si>
  <si>
    <r>
      <t>a.</t>
    </r>
    <r>
      <rPr>
        <sz val="7"/>
        <color theme="1"/>
        <rFont val="Times New Roman"/>
        <family val="1"/>
      </rPr>
      <t xml:space="preserve">       </t>
    </r>
    <r>
      <rPr>
        <sz val="11"/>
        <color theme="1"/>
        <rFont val="Calibri"/>
        <family val="2"/>
        <scheme val="minor"/>
      </rPr>
      <t>Een medewerker met een inkomen van 60.000, die per 1-8 in het tweede ziektejaar zit, en vervolgens 70% van zijn inkomen krijgt doorbetaald.</t>
    </r>
  </si>
  <si>
    <r>
      <t>b.</t>
    </r>
    <r>
      <rPr>
        <sz val="7"/>
        <color theme="1"/>
        <rFont val="Times New Roman"/>
        <family val="1"/>
      </rPr>
      <t xml:space="preserve">       </t>
    </r>
    <r>
      <rPr>
        <sz val="11"/>
        <color theme="1"/>
        <rFont val="Calibri"/>
        <family val="2"/>
        <scheme val="minor"/>
      </rPr>
      <t>Een medewerker met een inkomen van 60.000, die per 1-8 door een demotie 50.000 gaat verdienen</t>
    </r>
  </si>
  <si>
    <r>
      <t>c.</t>
    </r>
    <r>
      <rPr>
        <sz val="7"/>
        <color theme="1"/>
        <rFont val="Times New Roman"/>
        <family val="1"/>
      </rPr>
      <t xml:space="preserve">       </t>
    </r>
    <r>
      <rPr>
        <sz val="11"/>
        <color theme="1"/>
        <rFont val="Calibri"/>
        <family val="2"/>
        <scheme val="minor"/>
      </rPr>
      <t>Een medewerker met een inkomen van 120.000, die per 1-8 in het tweede ziektejaar zit, en vervolgens 70% van zijn inkomen krijgt doorbetaald.</t>
    </r>
  </si>
  <si>
    <t>In bovenstaande situaties wordt het pensioengevend salaris pas per 1-1 volgend op, gewijzigd (conform het reglement van SBZ Pensioen)</t>
  </si>
  <si>
    <t>0.3</t>
  </si>
  <si>
    <t>Berekening in- en uitdienst (obv kalenderdagen)</t>
  </si>
  <si>
    <t>Berekening van de WG-premie voor de AOP-regeling</t>
  </si>
  <si>
    <t>Deeltijdfactor</t>
  </si>
  <si>
    <t>Max SV-loon (2018)</t>
  </si>
  <si>
    <t>WG-premie</t>
  </si>
  <si>
    <t>Regelingloon tot Max SV-loon</t>
  </si>
  <si>
    <t>Regelingloon boven max SV-loon</t>
  </si>
  <si>
    <t>Premie (0,1% tot max SV-loon + 2,0% boven max SV-loon)</t>
  </si>
  <si>
    <t>Premie tot max SV-loon</t>
  </si>
  <si>
    <t>Premie boven max SV-loon</t>
  </si>
  <si>
    <t>Werknemer 1</t>
  </si>
  <si>
    <t>Werknemer 2</t>
  </si>
  <si>
    <t>0.4</t>
  </si>
  <si>
    <t>Berekening AOP-premie toegevoegd</t>
  </si>
  <si>
    <t>0.5</t>
  </si>
  <si>
    <t>Tabblad "Oproepkrachten" aangemaakt</t>
  </si>
  <si>
    <t xml:space="preserve">Oproepkrachten </t>
  </si>
  <si>
    <r>
      <t xml:space="preserve">Voor werknemers die in dienst zijn op basis van een 0-uren contract moet in de UPA het werkelijk aantal verloonde uren worden opgegeven. Hiervoor moet het gegevenselement “Verloonde uren voor regeling” gebruikt worden.  De PUO verwacht dan in het gegevenselement “Contracturen per week” de waarde “0”. Het gegevenselement “Normuren per week” moet gevuld worden zoals in de toelichting opgegeven.  Er zijn twee categorieën oproepkrachten en die zijn op onderstaande manieren te herkennen: het gegevenselement “Code invloed verzekeringsplicht” is gevuld met de code ‘D’ of ‘E’. 
• D = Oproep/invalkracht zonder verplichting om te komen
• E = Oproep/invalkracht met de verplichting om te komen 
Ook als een werknemer in een tijdvak niet heeft gewerkt moet aangifte worden gedaan. De gegevensgroep “Werknemergegevens” wordt, waar nodig, gevuld met ‘0’. Als de werknemer deelneemt aan een regeling, dan moet de gegevensgroep “Regelinggegevens” ook gespecificeerd worden. 
</t>
    </r>
    <r>
      <rPr>
        <b/>
        <sz val="11"/>
        <color rgb="FF000000"/>
        <rFont val="Calibri"/>
        <family val="2"/>
        <scheme val="minor"/>
      </rPr>
      <t>Minimum urencontract</t>
    </r>
    <r>
      <rPr>
        <sz val="11"/>
        <color rgb="FF000000"/>
        <rFont val="Calibri"/>
        <family val="2"/>
        <scheme val="minor"/>
      </rPr>
      <t xml:space="preserve">
Voor werknemers die werken op basis van een minimum contract (hieronder vallen ook die situaties waarin niet alleen een minimum aantal uren is gedefinieerd maar ook een maximum aantal uren) gelden dezelfde regels als hierboven beschreven voor werknemers met een 0-uren contract.
</t>
    </r>
    <r>
      <rPr>
        <b/>
        <sz val="11"/>
        <color rgb="FF000000"/>
        <rFont val="Calibri"/>
        <family val="2"/>
        <scheme val="minor"/>
      </rPr>
      <t>Flexibel contract</t>
    </r>
    <r>
      <rPr>
        <sz val="11"/>
        <color rgb="FF000000"/>
        <rFont val="Calibri"/>
        <family val="2"/>
        <scheme val="minor"/>
      </rPr>
      <t xml:space="preserve">
Indien de contracturen flexibel worden ingevuld (als bij een contract van 30 uur per week de ene keer 24 uur en de andere keer 36 uur wordt gewerkt), wordt het vaste (dus gemiddelde) aantal Productbeschrijving UPA 2018 1.0 Versie : Definitief 25 uren opgegeven als de beloning in elke betaalperiode eveneens gebaseerd is op dit gemiddelde aantal te werken uren.
Indien de vergoeding in de betaalperiode fluctueert met het aantal in die periode daadwerkelijk gewerkte uren, dan moeten de daadwerkelijke gewerkte en dus verloonde uren voor regeling opgenomen worden in het gegevenselement “Verloonde uren voor regeling”. Dan gelden voor de gegevenselementen “Contracturen per week” en “Normuren per week” dezelfde regels als bij een 0-uren contract.
 </t>
    </r>
  </si>
  <si>
    <t>Grondslag</t>
  </si>
  <si>
    <t>Regelingloon (Jaarsalaris+vak.geld+eind.jaarsuitk+vaste toeslagen)</t>
  </si>
  <si>
    <t>De volgende staffel richten we in voor Netto DC</t>
  </si>
  <si>
    <t>Pensioengevend salaris</t>
  </si>
  <si>
    <t>Vul hier de beschrijving van het pensioen-gevend salaris in, dit wordt opgenomen in de werkgeversbijlage bij het pensioenreglement</t>
  </si>
  <si>
    <t>Inkomensgrens</t>
  </si>
  <si>
    <t>De inkomensgrens voor nettopensioen is het fiscaal maximaal pensioengevend inkomen voor brutopensioen en wordt jaarlijks aangepast zoals beschreven in artikel 18ga lid 2 Wet LB 1964</t>
  </si>
  <si>
    <t>Beschikbarepremiestaffel</t>
  </si>
  <si>
    <t>Leeftijd</t>
  </si>
  <si>
    <t>3%-staffel</t>
  </si>
  <si>
    <t>nettopensioen</t>
  </si>
  <si>
    <t>Premiepercentage pensioenregeling</t>
  </si>
  <si>
    <t>Premiepercentage bijsparen</t>
  </si>
  <si>
    <t>15 - 19</t>
  </si>
  <si>
    <t>20 - 24</t>
  </si>
  <si>
    <t>25 - 29</t>
  </si>
  <si>
    <t>30 - 34</t>
  </si>
  <si>
    <t>35 - 39</t>
  </si>
  <si>
    <t>40 - 44</t>
  </si>
  <si>
    <t>45 - 49</t>
  </si>
  <si>
    <t>50 - 54</t>
  </si>
  <si>
    <t>55 - 59</t>
  </si>
  <si>
    <t>60 - 64</t>
  </si>
  <si>
    <t>&gt; 65</t>
  </si>
  <si>
    <t>Partner- en wezenpensioen</t>
  </si>
  <si>
    <t>Risicoverzekering op basis van geïndexeerd middelloon</t>
  </si>
  <si>
    <t>Vul het percentage partnerpensioen in van minimaal 0,473% en maximaal 0,630</t>
  </si>
  <si>
    <t>Hoogte van het wezenpensioen</t>
  </si>
  <si>
    <t>20% van het partnerpensioen</t>
  </si>
  <si>
    <t>Vul hier het gewenste percentage van de staffel in van minimaal 80% en maximaal 100%.
In de kolom 'Premiepercentage pensioenregeling' worden de staffelpercentages getoond die worden opgenomen in de werkgeverbijlage bij het reglement.
Indien van toepassing worden in de kolom 'Premiepercentage bijsparen' de staffelpercentages voor bijsparen getoond die worden opgenomen in de werkgeverbijlage bij het reglement.</t>
  </si>
  <si>
    <t>Leeftijd:</t>
  </si>
  <si>
    <t>1e dag van de maand waarin de werknemer jarig is</t>
  </si>
  <si>
    <t>0.6</t>
  </si>
  <si>
    <t>Tabblad netto pensioen toegevoegd</t>
  </si>
  <si>
    <r>
      <rPr>
        <b/>
        <i/>
        <sz val="11"/>
        <color rgb="FF000000"/>
        <rFont val="Calibri"/>
        <family val="2"/>
        <scheme val="minor"/>
      </rPr>
      <t>Samengevat: bij de code verzekeringsplicht D of E</t>
    </r>
    <r>
      <rPr>
        <sz val="11"/>
        <color rgb="FF000000"/>
        <rFont val="Calibri"/>
        <family val="2"/>
        <scheme val="minor"/>
      </rPr>
      <t xml:space="preserve">
Werkelijk verdiende salaris: Totaal Regelingloon (TotRegLn) op fulltime jaarbasis
Werkelijk gewerkte uren: Totaal verloonde uren voor regeling (TotAantVerlUReg)
Contracturen: 0 (nul)
Normuren: vullen (gebeurt nu ook al)
Parttime-percentage = '0'
</t>
    </r>
  </si>
  <si>
    <t>0.7</t>
  </si>
  <si>
    <t>Tekstuele correctie bij oproepkrachten (PT% = '0', toegevoegd)</t>
  </si>
  <si>
    <t>0.8</t>
  </si>
  <si>
    <t xml:space="preserve">€   107.593,00 </t>
  </si>
  <si>
    <t> (in 2019)</t>
  </si>
  <si>
    <t>Staffels Netto DC 2019 aangepast</t>
  </si>
  <si>
    <t>Bruto premie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</si>
</sst>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 #,##0;[Red]&quot;€&quot;\ \-#,##0"/>
    <numFmt numFmtId="44" formatCode="_ &quot;€&quot;\ * #,##0.00_ ;_ &quot;€&quot;\ * \-#,##0.00_ ;_ &quot;€&quot;\ * &quot;-&quot;??_ ;_ @_ "/>
  </numFmts>
  <fonts count="2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10"/>
      <color rgb="FF444444"/>
      <name val="Segoe UI"/>
      <family val="2"/>
    </font>
    <font>
      <b/>
      <sz val="12"/>
      <color rgb="FFFF0000"/>
      <name val="Calibri"/>
      <family val="2"/>
      <scheme val="minor"/>
    </font>
    <font>
      <b/>
      <sz val="10"/>
      <name val="Calibri"/>
      <family val="2"/>
      <scheme val="minor"/>
    </font>
    <font>
      <sz val="10"/>
      <name val="Calibri"/>
      <family val="2"/>
      <scheme val="minor"/>
    </font>
    <font>
      <i/>
      <sz val="10"/>
      <color rgb="FFFF0000"/>
      <name val="Calibri"/>
      <family val="2"/>
      <scheme val="minor"/>
    </font>
    <font>
      <sz val="11"/>
      <color rgb="FFFF0000"/>
      <name val="Calibri"/>
      <family val="2"/>
      <scheme val="minor"/>
    </font>
    <font>
      <sz val="7"/>
      <color theme="1"/>
      <name val="Times New Roman"/>
      <family val="1"/>
    </font>
    <font>
      <b/>
      <sz val="14"/>
      <color theme="1"/>
      <name val="Calibri"/>
      <family val="2"/>
      <scheme val="minor"/>
    </font>
    <font>
      <i/>
      <sz val="11"/>
      <color rgb="FFFF0000"/>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sz val="8.5"/>
      <color rgb="FF000000"/>
      <name val="Arial"/>
      <family val="2"/>
    </font>
    <font>
      <b/>
      <i/>
      <sz val="11"/>
      <color rgb="FF000000"/>
      <name val="Calibri"/>
      <family val="2"/>
      <scheme val="minor"/>
    </font>
    <font>
      <sz val="10"/>
      <color theme="1"/>
      <name val="Times New Roman"/>
      <family val="1"/>
    </font>
    <font>
      <sz val="11"/>
      <color theme="1"/>
      <name val="Calibri"/>
      <family val="2"/>
    </font>
    <font>
      <b/>
      <sz val="11"/>
      <color theme="1"/>
      <name val="Calibri"/>
      <family val="2"/>
    </font>
    <font>
      <b/>
      <sz val="12"/>
      <color rgb="FFFFFFFF"/>
      <name val="Calibri"/>
      <family val="2"/>
    </font>
    <font>
      <sz val="11"/>
      <color rgb="FF000000"/>
      <name val="Calibri"/>
      <family val="2"/>
    </font>
    <font>
      <sz val="11"/>
      <color rgb="FFFFFFFF"/>
      <name val="Calibri"/>
      <family val="2"/>
    </font>
    <font>
      <b/>
      <sz val="11"/>
      <color rgb="FF000000"/>
      <name val="Calibri"/>
      <family val="2"/>
    </font>
    <font>
      <b/>
      <i/>
      <sz val="11"/>
      <color theme="1"/>
      <name val="Calibri"/>
      <family val="2"/>
    </font>
    <font>
      <i/>
      <sz val="11"/>
      <color theme="1"/>
      <name val="Calibri"/>
      <family val="2"/>
    </font>
    <font>
      <sz val="11"/>
      <color rgb="FF1F497D"/>
      <name val="Symbol"/>
      <family val="1"/>
      <charset val="2"/>
    </font>
  </fonts>
  <fills count="11">
    <fill>
      <patternFill patternType="none"/>
    </fill>
    <fill>
      <patternFill patternType="gray125"/>
    </fill>
    <fill>
      <patternFill patternType="solid">
        <fgColor theme="4" tint="0.7999816888943144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FFFF00"/>
        <bgColor indexed="64"/>
      </patternFill>
    </fill>
    <fill>
      <patternFill patternType="solid">
        <fgColor rgb="FF4F81BD"/>
        <bgColor indexed="64"/>
      </patternFill>
    </fill>
    <fill>
      <patternFill patternType="solid">
        <fgColor rgb="FFB8CCE4"/>
        <bgColor indexed="64"/>
      </patternFill>
    </fill>
    <fill>
      <patternFill patternType="solid">
        <fgColor rgb="FFDCE6F1"/>
        <bgColor indexed="64"/>
      </patternFill>
    </fill>
    <fill>
      <patternFill patternType="solid">
        <fgColor rgb="FF95B3D7"/>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11">
    <xf numFmtId="0" fontId="0" fillId="0" borderId="0" xfId="0"/>
    <xf numFmtId="14" fontId="0" fillId="0" borderId="0" xfId="0" applyNumberFormat="1"/>
    <xf numFmtId="0" fontId="2" fillId="0" borderId="0" xfId="0" applyFont="1"/>
    <xf numFmtId="0" fontId="3" fillId="0" borderId="0" xfId="0" applyFont="1"/>
    <xf numFmtId="14" fontId="3" fillId="0" borderId="0" xfId="0" applyNumberFormat="1" applyFont="1"/>
    <xf numFmtId="44" fontId="3" fillId="0" borderId="0" xfId="0" applyNumberFormat="1" applyFont="1"/>
    <xf numFmtId="0" fontId="3" fillId="3" borderId="0" xfId="0" applyFont="1" applyFill="1"/>
    <xf numFmtId="0" fontId="3" fillId="0" borderId="0" xfId="0" applyFont="1" applyFill="1"/>
    <xf numFmtId="0" fontId="3" fillId="0" borderId="0" xfId="0" quotePrefix="1" applyFont="1"/>
    <xf numFmtId="0" fontId="3" fillId="4" borderId="0" xfId="0" applyFont="1" applyFill="1"/>
    <xf numFmtId="44" fontId="3" fillId="4" borderId="0" xfId="0" applyNumberFormat="1" applyFont="1" applyFill="1"/>
    <xf numFmtId="10" fontId="3" fillId="4" borderId="0" xfId="1" applyNumberFormat="1" applyFont="1" applyFill="1"/>
    <xf numFmtId="14" fontId="3" fillId="4" borderId="0" xfId="0" applyNumberFormat="1" applyFont="1" applyFill="1"/>
    <xf numFmtId="9" fontId="3" fillId="4" borderId="0" xfId="1" applyFont="1" applyFill="1"/>
    <xf numFmtId="0" fontId="4" fillId="0" borderId="0" xfId="0" applyFont="1"/>
    <xf numFmtId="0" fontId="4" fillId="2" borderId="0" xfId="0" applyFont="1" applyFill="1"/>
    <xf numFmtId="0" fontId="4" fillId="0" borderId="0" xfId="0" applyFont="1" applyFill="1"/>
    <xf numFmtId="0" fontId="5" fillId="0" borderId="0" xfId="0" applyFont="1"/>
    <xf numFmtId="0" fontId="2" fillId="5" borderId="1" xfId="0" applyFont="1" applyFill="1" applyBorder="1"/>
    <xf numFmtId="0" fontId="2" fillId="5" borderId="1" xfId="0" applyFont="1" applyFill="1" applyBorder="1" applyAlignment="1">
      <alignment wrapText="1"/>
    </xf>
    <xf numFmtId="0" fontId="2" fillId="5" borderId="0" xfId="0" applyFont="1" applyFill="1"/>
    <xf numFmtId="0" fontId="0" fillId="5" borderId="1" xfId="0" applyFill="1" applyBorder="1"/>
    <xf numFmtId="0" fontId="0" fillId="5" borderId="1" xfId="0" applyFill="1" applyBorder="1" applyAlignment="1">
      <alignment wrapText="1"/>
    </xf>
    <xf numFmtId="14" fontId="0" fillId="5" borderId="1" xfId="0" applyNumberFormat="1" applyFill="1" applyBorder="1"/>
    <xf numFmtId="0" fontId="0" fillId="5" borderId="0" xfId="0" applyFill="1"/>
    <xf numFmtId="0" fontId="0" fillId="5" borderId="0" xfId="0" applyFill="1" applyAlignment="1">
      <alignment wrapText="1"/>
    </xf>
    <xf numFmtId="0" fontId="6" fillId="0" borderId="0" xfId="0" applyFont="1"/>
    <xf numFmtId="0" fontId="3" fillId="0" borderId="0" xfId="0" applyFont="1" applyAlignment="1">
      <alignment wrapText="1"/>
    </xf>
    <xf numFmtId="0" fontId="8" fillId="0" borderId="0" xfId="0" applyFont="1" applyFill="1" applyProtection="1">
      <protection locked="0"/>
    </xf>
    <xf numFmtId="0" fontId="7" fillId="6" borderId="0" xfId="0" applyFont="1" applyFill="1" applyProtection="1">
      <protection locked="0"/>
    </xf>
    <xf numFmtId="14" fontId="8" fillId="6" borderId="0" xfId="0" applyNumberFormat="1" applyFont="1" applyFill="1" applyProtection="1">
      <protection locked="0"/>
    </xf>
    <xf numFmtId="0" fontId="8" fillId="6" borderId="0" xfId="0" applyFont="1" applyFill="1" applyProtection="1">
      <protection locked="0"/>
    </xf>
    <xf numFmtId="44" fontId="8" fillId="6" borderId="0" xfId="0" applyNumberFormat="1" applyFont="1" applyFill="1" applyProtection="1">
      <protection locked="0"/>
    </xf>
    <xf numFmtId="9" fontId="8" fillId="6" borderId="0" xfId="1" applyFont="1" applyFill="1" applyProtection="1">
      <protection locked="0"/>
    </xf>
    <xf numFmtId="44" fontId="3" fillId="6" borderId="0" xfId="0" applyNumberFormat="1" applyFont="1" applyFill="1"/>
    <xf numFmtId="0" fontId="9" fillId="0" borderId="0" xfId="0" applyFont="1" applyAlignment="1">
      <alignment wrapText="1"/>
    </xf>
    <xf numFmtId="0" fontId="0" fillId="0" borderId="0" xfId="0" applyAlignment="1">
      <alignment horizontal="left" vertical="center" indent="13"/>
    </xf>
    <xf numFmtId="0" fontId="0" fillId="0" borderId="0" xfId="0" applyAlignment="1">
      <alignment horizontal="left" vertical="center" indent="15"/>
    </xf>
    <xf numFmtId="6" fontId="0" fillId="0" borderId="0" xfId="0" applyNumberFormat="1"/>
    <xf numFmtId="9" fontId="0" fillId="0" borderId="0" xfId="0" applyNumberFormat="1"/>
    <xf numFmtId="0" fontId="0" fillId="0" borderId="0" xfId="0" applyAlignment="1">
      <alignment vertical="center"/>
    </xf>
    <xf numFmtId="9" fontId="10" fillId="0" borderId="0" xfId="0" applyNumberFormat="1" applyFont="1"/>
    <xf numFmtId="0" fontId="10" fillId="0" borderId="0" xfId="0" applyFont="1"/>
    <xf numFmtId="0" fontId="12" fillId="0" borderId="0" xfId="0" applyFont="1"/>
    <xf numFmtId="0" fontId="0" fillId="0" borderId="0" xfId="0" quotePrefix="1"/>
    <xf numFmtId="0" fontId="13" fillId="0" borderId="0" xfId="0" applyFont="1" applyAlignment="1">
      <alignment vertical="center"/>
    </xf>
    <xf numFmtId="2" fontId="3" fillId="4" borderId="0" xfId="0" applyNumberFormat="1" applyFont="1" applyFill="1"/>
    <xf numFmtId="44" fontId="0" fillId="0" borderId="0" xfId="2" applyFont="1"/>
    <xf numFmtId="44" fontId="0" fillId="0" borderId="0" xfId="0" applyNumberFormat="1"/>
    <xf numFmtId="10" fontId="0" fillId="0" borderId="0" xfId="2" applyNumberFormat="1" applyFont="1"/>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6" fillId="0" borderId="0" xfId="0" applyFont="1" applyAlignment="1">
      <alignment vertical="center" wrapText="1"/>
    </xf>
    <xf numFmtId="0" fontId="0" fillId="6" borderId="0" xfId="0" applyFill="1"/>
    <xf numFmtId="0" fontId="19" fillId="0" borderId="0" xfId="0" applyFont="1"/>
    <xf numFmtId="0" fontId="22" fillId="7" borderId="2" xfId="0" applyFont="1" applyFill="1" applyBorder="1" applyAlignment="1">
      <alignment vertical="center"/>
    </xf>
    <xf numFmtId="0" fontId="24" fillId="7" borderId="5" xfId="0" applyFont="1" applyFill="1" applyBorder="1" applyAlignment="1">
      <alignment vertical="center" wrapText="1"/>
    </xf>
    <xf numFmtId="0" fontId="25" fillId="9" borderId="5" xfId="0" applyFont="1" applyFill="1" applyBorder="1" applyAlignment="1">
      <alignment vertical="center"/>
    </xf>
    <xf numFmtId="0" fontId="24" fillId="7" borderId="7" xfId="0" applyFont="1" applyFill="1" applyBorder="1" applyAlignment="1">
      <alignment vertical="center"/>
    </xf>
    <xf numFmtId="0" fontId="23" fillId="8" borderId="7" xfId="0" applyFont="1" applyFill="1" applyBorder="1" applyAlignment="1">
      <alignment vertical="center"/>
    </xf>
    <xf numFmtId="0" fontId="19" fillId="0" borderId="0" xfId="0" applyFont="1" applyAlignment="1">
      <alignment vertical="top"/>
    </xf>
    <xf numFmtId="0" fontId="25" fillId="8" borderId="11" xfId="0" applyFont="1" applyFill="1" applyBorder="1" applyAlignment="1">
      <alignment vertical="center"/>
    </xf>
    <xf numFmtId="0" fontId="25" fillId="9" borderId="12" xfId="0" applyFont="1" applyFill="1" applyBorder="1" applyAlignment="1">
      <alignment horizontal="center" vertical="center"/>
    </xf>
    <xf numFmtId="0" fontId="26" fillId="10" borderId="13" xfId="0" applyFont="1" applyFill="1" applyBorder="1" applyAlignment="1">
      <alignment horizontal="center" vertical="center" wrapText="1"/>
    </xf>
    <xf numFmtId="0" fontId="27" fillId="10" borderId="13" xfId="0" applyFont="1" applyFill="1" applyBorder="1" applyAlignment="1">
      <alignment vertical="center"/>
    </xf>
    <xf numFmtId="10" fontId="27" fillId="10" borderId="13" xfId="0" applyNumberFormat="1" applyFont="1" applyFill="1" applyBorder="1" applyAlignment="1">
      <alignment horizontal="center" vertical="center"/>
    </xf>
    <xf numFmtId="0" fontId="20" fillId="10" borderId="13" xfId="0" applyFont="1" applyFill="1" applyBorder="1" applyAlignment="1">
      <alignment horizontal="center" vertical="center"/>
    </xf>
    <xf numFmtId="0" fontId="21" fillId="10" borderId="13" xfId="0" applyFont="1" applyFill="1" applyBorder="1" applyAlignment="1">
      <alignment horizontal="center" vertical="center"/>
    </xf>
    <xf numFmtId="0" fontId="23" fillId="8" borderId="8" xfId="0" applyFont="1" applyFill="1" applyBorder="1" applyAlignment="1">
      <alignment vertical="center"/>
    </xf>
    <xf numFmtId="0" fontId="23" fillId="8" borderId="13" xfId="0" applyFont="1" applyFill="1" applyBorder="1" applyAlignment="1">
      <alignment vertical="center"/>
    </xf>
    <xf numFmtId="10" fontId="25" fillId="9" borderId="5" xfId="0" applyNumberFormat="1" applyFont="1" applyFill="1" applyBorder="1" applyAlignment="1">
      <alignment vertical="center"/>
    </xf>
    <xf numFmtId="0" fontId="24" fillId="7" borderId="5" xfId="0" applyFont="1" applyFill="1" applyBorder="1" applyAlignment="1">
      <alignment vertical="center"/>
    </xf>
    <xf numFmtId="0" fontId="28" fillId="0" borderId="0" xfId="0" applyFont="1" applyAlignment="1">
      <alignment horizontal="left" vertical="center" indent="5"/>
    </xf>
    <xf numFmtId="0" fontId="23" fillId="8" borderId="8" xfId="0" applyFont="1" applyFill="1" applyBorder="1" applyAlignment="1">
      <alignment vertical="center"/>
    </xf>
    <xf numFmtId="0" fontId="25" fillId="9" borderId="0" xfId="0" applyFont="1" applyFill="1" applyBorder="1" applyAlignment="1">
      <alignment vertical="center"/>
    </xf>
    <xf numFmtId="10" fontId="23" fillId="8" borderId="8" xfId="0" applyNumberFormat="1" applyFont="1" applyFill="1" applyBorder="1" applyAlignment="1">
      <alignment vertical="center"/>
    </xf>
    <xf numFmtId="0" fontId="26" fillId="10" borderId="13" xfId="0" applyFont="1" applyFill="1" applyBorder="1" applyAlignment="1">
      <alignment vertical="center"/>
    </xf>
    <xf numFmtId="10" fontId="25" fillId="9" borderId="0" xfId="0" applyNumberFormat="1" applyFont="1" applyFill="1" applyBorder="1" applyAlignment="1">
      <alignment vertical="center"/>
    </xf>
    <xf numFmtId="9" fontId="27" fillId="10" borderId="13" xfId="0" applyNumberFormat="1" applyFont="1" applyFill="1" applyBorder="1" applyAlignment="1">
      <alignment vertical="center"/>
    </xf>
    <xf numFmtId="10" fontId="27" fillId="10" borderId="13" xfId="0" applyNumberFormat="1" applyFont="1" applyFill="1" applyBorder="1" applyAlignment="1">
      <alignment vertical="center"/>
    </xf>
    <xf numFmtId="0" fontId="25" fillId="0" borderId="0" xfId="0" applyFont="1" applyFill="1" applyBorder="1" applyAlignment="1">
      <alignment vertical="center"/>
    </xf>
    <xf numFmtId="0" fontId="23" fillId="0" borderId="0" xfId="0" applyFont="1" applyFill="1" applyBorder="1" applyAlignment="1">
      <alignment horizontal="right" vertical="center"/>
    </xf>
    <xf numFmtId="0" fontId="2" fillId="6" borderId="0" xfId="0" applyFont="1" applyFill="1" applyAlignment="1">
      <alignment horizontal="left"/>
    </xf>
    <xf numFmtId="0" fontId="23" fillId="8" borderId="7" xfId="0" applyFont="1" applyFill="1" applyBorder="1" applyAlignment="1">
      <alignment vertical="center"/>
    </xf>
    <xf numFmtId="0" fontId="23" fillId="8" borderId="8" xfId="0" applyFont="1" applyFill="1" applyBorder="1" applyAlignment="1">
      <alignment vertical="center"/>
    </xf>
    <xf numFmtId="0" fontId="23" fillId="8" borderId="9" xfId="0" applyFont="1" applyFill="1" applyBorder="1" applyAlignment="1">
      <alignment vertical="center"/>
    </xf>
    <xf numFmtId="0" fontId="23" fillId="8" borderId="2" xfId="0" applyFont="1" applyFill="1" applyBorder="1" applyAlignment="1">
      <alignment vertical="center"/>
    </xf>
    <xf numFmtId="0" fontId="23" fillId="8" borderId="3" xfId="0" applyFont="1" applyFill="1" applyBorder="1" applyAlignment="1">
      <alignment vertical="center"/>
    </xf>
    <xf numFmtId="0" fontId="23" fillId="8" borderId="4" xfId="0" applyFont="1" applyFill="1" applyBorder="1" applyAlignment="1">
      <alignment vertical="center"/>
    </xf>
    <xf numFmtId="0" fontId="25" fillId="9" borderId="5" xfId="0" applyFont="1" applyFill="1" applyBorder="1" applyAlignment="1">
      <alignment vertical="center"/>
    </xf>
    <xf numFmtId="0" fontId="25" fillId="9" borderId="0" xfId="0" applyFont="1" applyFill="1" applyBorder="1" applyAlignment="1">
      <alignment vertical="center"/>
    </xf>
    <xf numFmtId="0" fontId="25" fillId="9" borderId="6" xfId="0" applyFont="1" applyFill="1" applyBorder="1" applyAlignment="1">
      <alignment vertical="center"/>
    </xf>
    <xf numFmtId="0" fontId="23" fillId="8" borderId="0" xfId="0" applyFont="1" applyFill="1" applyAlignment="1">
      <alignment vertical="center"/>
    </xf>
    <xf numFmtId="0" fontId="23" fillId="8" borderId="6" xfId="0" applyFont="1" applyFill="1" applyBorder="1" applyAlignment="1">
      <alignment vertical="center"/>
    </xf>
    <xf numFmtId="0" fontId="25" fillId="8" borderId="0" xfId="0" applyFont="1" applyFill="1" applyAlignment="1">
      <alignment vertical="center"/>
    </xf>
    <xf numFmtId="0" fontId="25" fillId="8" borderId="6" xfId="0" applyFont="1" applyFill="1" applyBorder="1" applyAlignment="1">
      <alignment vertical="center"/>
    </xf>
    <xf numFmtId="0" fontId="23" fillId="8" borderId="5" xfId="0" applyFont="1" applyFill="1" applyBorder="1" applyAlignment="1">
      <alignment vertical="center"/>
    </xf>
    <xf numFmtId="0" fontId="23" fillId="8" borderId="0" xfId="0" applyFont="1" applyFill="1" applyBorder="1" applyAlignment="1">
      <alignment vertical="center"/>
    </xf>
    <xf numFmtId="0" fontId="24" fillId="7" borderId="10" xfId="0" applyFont="1" applyFill="1" applyBorder="1" applyAlignment="1">
      <alignment horizontal="center" vertical="center" wrapText="1"/>
    </xf>
    <xf numFmtId="0" fontId="23" fillId="8" borderId="7" xfId="0" applyFont="1" applyFill="1" applyBorder="1" applyAlignment="1">
      <alignment vertical="center" wrapText="1"/>
    </xf>
    <xf numFmtId="0" fontId="23" fillId="8" borderId="9" xfId="0" applyFont="1" applyFill="1" applyBorder="1" applyAlignment="1">
      <alignment vertical="center" wrapText="1"/>
    </xf>
    <xf numFmtId="0" fontId="26" fillId="10" borderId="10" xfId="0" applyFont="1" applyFill="1" applyBorder="1" applyAlignment="1">
      <alignment vertical="center"/>
    </xf>
    <xf numFmtId="0" fontId="26" fillId="10" borderId="14" xfId="0" applyFont="1" applyFill="1" applyBorder="1" applyAlignment="1">
      <alignment vertical="center"/>
    </xf>
    <xf numFmtId="0" fontId="21" fillId="10" borderId="15" xfId="0" applyFont="1" applyFill="1" applyBorder="1" applyAlignment="1">
      <alignment horizontal="center" vertical="center" wrapText="1"/>
    </xf>
    <xf numFmtId="0" fontId="21" fillId="10" borderId="14" xfId="0" applyFont="1" applyFill="1" applyBorder="1" applyAlignment="1">
      <alignment horizontal="center" vertical="center" wrapText="1"/>
    </xf>
    <xf numFmtId="0" fontId="20" fillId="10" borderId="15" xfId="0" applyFont="1" applyFill="1" applyBorder="1" applyAlignment="1">
      <alignment horizontal="center" vertical="center" wrapText="1"/>
    </xf>
    <xf numFmtId="0" fontId="20" fillId="10" borderId="14"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26" fillId="10" borderId="11" xfId="0" applyFont="1" applyFill="1" applyBorder="1" applyAlignment="1">
      <alignment horizontal="center" vertical="center" wrapText="1"/>
    </xf>
  </cellXfs>
  <cellStyles count="3">
    <cellStyle name="Procent" xfId="1" builtinId="5"/>
    <cellStyle name="Standaard" xfId="0" builtinId="0"/>
    <cellStyle name="Valuta" xfId="2" builtinId="4"/>
  </cellStyles>
  <dxfs count="4">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295275</xdr:colOff>
      <xdr:row>0</xdr:row>
      <xdr:rowOff>133350</xdr:rowOff>
    </xdr:from>
    <xdr:to>
      <xdr:col>9</xdr:col>
      <xdr:colOff>437751</xdr:colOff>
      <xdr:row>2</xdr:row>
      <xdr:rowOff>171398</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6715125" y="133350"/>
          <a:ext cx="3190476" cy="419048"/>
        </a:xfrm>
        <a:prstGeom prst="rect">
          <a:avLst/>
        </a:prstGeom>
        <a:ln w="19050">
          <a:solidFill>
            <a:schemeClr val="bg2">
              <a:lumMod val="50000"/>
            </a:schemeClr>
          </a:solidFill>
        </a:ln>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D10"/>
  <sheetViews>
    <sheetView tabSelected="1" workbookViewId="0">
      <selection activeCell="B10" sqref="B10"/>
    </sheetView>
  </sheetViews>
  <sheetFormatPr defaultColWidth="9.109375" defaultRowHeight="14.4" x14ac:dyDescent="0.3"/>
  <cols>
    <col min="1" max="1" width="9.109375" style="24"/>
    <col min="2" max="2" width="59.6640625" style="25" customWidth="1"/>
    <col min="3" max="3" width="12" style="24" customWidth="1"/>
    <col min="4" max="4" width="28.44140625" style="24" customWidth="1"/>
    <col min="5" max="16384" width="9.109375" style="24"/>
  </cols>
  <sheetData>
    <row r="1" spans="1:4" s="20" customFormat="1" ht="15" x14ac:dyDescent="0.25">
      <c r="A1" s="18" t="s">
        <v>79</v>
      </c>
      <c r="B1" s="19" t="s">
        <v>76</v>
      </c>
      <c r="C1" s="18" t="s">
        <v>77</v>
      </c>
      <c r="D1" s="18" t="s">
        <v>78</v>
      </c>
    </row>
    <row r="2" spans="1:4" x14ac:dyDescent="0.3">
      <c r="A2" s="21" t="s">
        <v>88</v>
      </c>
      <c r="B2" s="22" t="s">
        <v>89</v>
      </c>
      <c r="C2" s="23">
        <v>43320</v>
      </c>
      <c r="D2" s="21" t="s">
        <v>90</v>
      </c>
    </row>
    <row r="3" spans="1:4" ht="15" x14ac:dyDescent="0.25">
      <c r="A3" s="21" t="s">
        <v>117</v>
      </c>
      <c r="B3" s="22" t="s">
        <v>118</v>
      </c>
      <c r="C3" s="23">
        <v>43336</v>
      </c>
      <c r="D3" s="21" t="s">
        <v>90</v>
      </c>
    </row>
    <row r="4" spans="1:4" ht="15" x14ac:dyDescent="0.25">
      <c r="A4" s="21" t="s">
        <v>132</v>
      </c>
      <c r="B4" s="22" t="s">
        <v>133</v>
      </c>
      <c r="C4" s="23">
        <v>43355</v>
      </c>
      <c r="D4" s="21" t="s">
        <v>90</v>
      </c>
    </row>
    <row r="5" spans="1:4" x14ac:dyDescent="0.3">
      <c r="A5" s="21" t="s">
        <v>145</v>
      </c>
      <c r="B5" s="22" t="s">
        <v>146</v>
      </c>
      <c r="C5" s="23">
        <v>43425</v>
      </c>
      <c r="D5" s="21" t="s">
        <v>90</v>
      </c>
    </row>
    <row r="6" spans="1:4" x14ac:dyDescent="0.3">
      <c r="A6" s="21" t="s">
        <v>147</v>
      </c>
      <c r="B6" s="22" t="s">
        <v>148</v>
      </c>
      <c r="C6" s="23">
        <v>43427</v>
      </c>
      <c r="D6" s="21" t="s">
        <v>90</v>
      </c>
    </row>
    <row r="7" spans="1:4" x14ac:dyDescent="0.3">
      <c r="A7" s="21" t="s">
        <v>183</v>
      </c>
      <c r="B7" s="22" t="s">
        <v>184</v>
      </c>
      <c r="C7" s="23">
        <v>43441</v>
      </c>
      <c r="D7" s="21" t="s">
        <v>90</v>
      </c>
    </row>
    <row r="8" spans="1:4" x14ac:dyDescent="0.3">
      <c r="A8" s="21" t="s">
        <v>186</v>
      </c>
      <c r="B8" s="22" t="s">
        <v>187</v>
      </c>
      <c r="C8" s="23">
        <v>43445</v>
      </c>
      <c r="D8" s="21" t="s">
        <v>90</v>
      </c>
    </row>
    <row r="9" spans="1:4" x14ac:dyDescent="0.3">
      <c r="A9" s="21" t="s">
        <v>188</v>
      </c>
      <c r="B9" s="22" t="s">
        <v>191</v>
      </c>
      <c r="C9" s="23">
        <v>43479</v>
      </c>
      <c r="D9" s="21" t="s">
        <v>90</v>
      </c>
    </row>
    <row r="10" spans="1:4" ht="15" x14ac:dyDescent="0.25">
      <c r="A10" s="21"/>
      <c r="B10" s="22"/>
      <c r="C10" s="21"/>
      <c r="D10" s="21"/>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workbookViewId="0">
      <selection activeCell="A6" sqref="A6"/>
    </sheetView>
  </sheetViews>
  <sheetFormatPr defaultRowHeight="14.4" x14ac:dyDescent="0.3"/>
  <cols>
    <col min="1" max="1" width="55.88671875" bestFit="1" customWidth="1"/>
    <col min="2" max="2" width="12.6640625" bestFit="1" customWidth="1"/>
    <col min="4" max="4" width="12.6640625" bestFit="1" customWidth="1"/>
  </cols>
  <sheetData>
    <row r="2" spans="1:4" x14ac:dyDescent="0.3">
      <c r="A2" s="2" t="s">
        <v>134</v>
      </c>
    </row>
    <row r="3" spans="1:4" x14ac:dyDescent="0.3">
      <c r="A3" s="2"/>
    </row>
    <row r="4" spans="1:4" x14ac:dyDescent="0.3">
      <c r="A4" s="2"/>
      <c r="B4" s="50" t="s">
        <v>143</v>
      </c>
      <c r="C4" s="50"/>
      <c r="D4" s="50" t="s">
        <v>144</v>
      </c>
    </row>
    <row r="6" spans="1:4" x14ac:dyDescent="0.3">
      <c r="A6" t="s">
        <v>152</v>
      </c>
      <c r="B6" s="47">
        <v>150000</v>
      </c>
      <c r="D6" s="47">
        <v>52000</v>
      </c>
    </row>
    <row r="7" spans="1:4" x14ac:dyDescent="0.3">
      <c r="A7" t="s">
        <v>135</v>
      </c>
      <c r="B7">
        <v>0.75</v>
      </c>
      <c r="D7">
        <v>1</v>
      </c>
    </row>
    <row r="9" spans="1:4" x14ac:dyDescent="0.3">
      <c r="A9" s="55" t="s">
        <v>151</v>
      </c>
      <c r="B9" s="48">
        <f>SUM(B6*B7)</f>
        <v>112500</v>
      </c>
      <c r="D9" s="48">
        <f>SUM(D6*D7)</f>
        <v>52000</v>
      </c>
    </row>
    <row r="11" spans="1:4" x14ac:dyDescent="0.3">
      <c r="A11" t="s">
        <v>136</v>
      </c>
      <c r="B11" s="47">
        <v>54616.68</v>
      </c>
      <c r="D11" s="47">
        <v>54616.68</v>
      </c>
    </row>
    <row r="12" spans="1:4" x14ac:dyDescent="0.3">
      <c r="A12" t="s">
        <v>141</v>
      </c>
      <c r="B12" s="49">
        <v>1E-3</v>
      </c>
      <c r="D12" s="49">
        <v>1E-3</v>
      </c>
    </row>
    <row r="13" spans="1:4" x14ac:dyDescent="0.3">
      <c r="A13" t="s">
        <v>142</v>
      </c>
      <c r="B13" s="49">
        <v>0.02</v>
      </c>
      <c r="D13" s="49">
        <v>0.02</v>
      </c>
    </row>
    <row r="16" spans="1:4" x14ac:dyDescent="0.3">
      <c r="A16" t="s">
        <v>137</v>
      </c>
    </row>
    <row r="17" spans="1:4" x14ac:dyDescent="0.3">
      <c r="A17" t="s">
        <v>138</v>
      </c>
      <c r="B17" s="48">
        <f>SUM(B11)</f>
        <v>54616.68</v>
      </c>
      <c r="D17" s="47">
        <v>52000</v>
      </c>
    </row>
    <row r="18" spans="1:4" x14ac:dyDescent="0.3">
      <c r="A18" t="s">
        <v>139</v>
      </c>
      <c r="B18" s="48">
        <f>SUM(B9-B17)</f>
        <v>57883.32</v>
      </c>
    </row>
    <row r="20" spans="1:4" x14ac:dyDescent="0.3">
      <c r="A20" t="s">
        <v>140</v>
      </c>
      <c r="B20" s="48">
        <f>SUM((B17*B12)+(B18*B13))</f>
        <v>1212.2830800000002</v>
      </c>
      <c r="D20" s="48">
        <f>SUM((D17*D12)+(D18*D13))</f>
        <v>52</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10"/>
  <sheetViews>
    <sheetView workbookViewId="0">
      <selection activeCell="B8" sqref="B8"/>
    </sheetView>
  </sheetViews>
  <sheetFormatPr defaultRowHeight="14.4" x14ac:dyDescent="0.3"/>
  <cols>
    <col min="2" max="2" width="134.77734375" customWidth="1"/>
  </cols>
  <sheetData>
    <row r="3" spans="2:4" x14ac:dyDescent="0.3">
      <c r="B3" s="51" t="s">
        <v>149</v>
      </c>
    </row>
    <row r="4" spans="2:4" ht="345.6" x14ac:dyDescent="0.3">
      <c r="B4" s="54" t="s">
        <v>150</v>
      </c>
    </row>
    <row r="5" spans="2:4" x14ac:dyDescent="0.3">
      <c r="B5" s="52"/>
    </row>
    <row r="6" spans="2:4" ht="115.2" x14ac:dyDescent="0.3">
      <c r="B6" s="54" t="s">
        <v>185</v>
      </c>
      <c r="D6" s="74"/>
    </row>
    <row r="7" spans="2:4" x14ac:dyDescent="0.3">
      <c r="B7" s="53"/>
      <c r="D7" s="74"/>
    </row>
    <row r="8" spans="2:4" x14ac:dyDescent="0.3">
      <c r="D8" s="74"/>
    </row>
    <row r="9" spans="2:4" x14ac:dyDescent="0.3">
      <c r="D9" s="74"/>
    </row>
    <row r="10" spans="2:4" x14ac:dyDescent="0.3">
      <c r="D10" s="74"/>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2"/>
  <sheetViews>
    <sheetView workbookViewId="0">
      <selection activeCell="P15" sqref="P15"/>
    </sheetView>
  </sheetViews>
  <sheetFormatPr defaultRowHeight="14.4" x14ac:dyDescent="0.3"/>
  <cols>
    <col min="1" max="1" width="46.88671875" customWidth="1"/>
    <col min="2" max="6" width="13.77734375" customWidth="1"/>
  </cols>
  <sheetData>
    <row r="2" spans="1:15" x14ac:dyDescent="0.3">
      <c r="A2" s="40" t="s">
        <v>153</v>
      </c>
    </row>
    <row r="3" spans="1:15" ht="15" thickBot="1" x14ac:dyDescent="0.35">
      <c r="A3" s="56"/>
      <c r="B3" s="56"/>
      <c r="C3" s="56"/>
      <c r="D3" s="56"/>
      <c r="E3" s="56"/>
      <c r="F3" s="56"/>
    </row>
    <row r="4" spans="1:15" ht="15.6" x14ac:dyDescent="0.3">
      <c r="A4" s="57" t="s">
        <v>154</v>
      </c>
      <c r="B4" s="88"/>
      <c r="C4" s="89"/>
      <c r="D4" s="89"/>
      <c r="E4" s="89"/>
      <c r="F4" s="90"/>
    </row>
    <row r="5" spans="1:15" ht="43.2" x14ac:dyDescent="0.3">
      <c r="A5" s="58" t="s">
        <v>155</v>
      </c>
      <c r="B5" s="91"/>
      <c r="C5" s="92"/>
      <c r="D5" s="92"/>
      <c r="E5" s="92"/>
      <c r="F5" s="93"/>
    </row>
    <row r="6" spans="1:15" ht="15" thickBot="1" x14ac:dyDescent="0.35">
      <c r="A6" s="60"/>
      <c r="B6" s="85"/>
      <c r="C6" s="86"/>
      <c r="D6" s="86"/>
      <c r="E6" s="86"/>
      <c r="F6" s="87"/>
    </row>
    <row r="7" spans="1:15" ht="15" thickBot="1" x14ac:dyDescent="0.35">
      <c r="A7" s="56"/>
      <c r="B7" s="56"/>
      <c r="C7" s="56"/>
      <c r="D7" s="56"/>
      <c r="E7" s="56"/>
      <c r="F7" s="56"/>
    </row>
    <row r="8" spans="1:15" ht="15.6" x14ac:dyDescent="0.3">
      <c r="A8" s="57" t="s">
        <v>156</v>
      </c>
      <c r="B8" s="88"/>
      <c r="C8" s="89"/>
      <c r="D8" s="89"/>
      <c r="E8" s="89"/>
      <c r="F8" s="90"/>
    </row>
    <row r="9" spans="1:15" ht="57.6" x14ac:dyDescent="0.3">
      <c r="A9" s="58" t="s">
        <v>157</v>
      </c>
      <c r="B9" s="59" t="s">
        <v>189</v>
      </c>
      <c r="C9" s="76"/>
      <c r="D9" s="94" t="s">
        <v>190</v>
      </c>
      <c r="E9" s="94"/>
      <c r="F9" s="95"/>
    </row>
    <row r="10" spans="1:15" ht="15" thickBot="1" x14ac:dyDescent="0.35">
      <c r="A10" s="60"/>
      <c r="B10" s="85"/>
      <c r="C10" s="86"/>
      <c r="D10" s="86"/>
      <c r="E10" s="86"/>
      <c r="F10" s="87"/>
    </row>
    <row r="11" spans="1:15" ht="15" thickBot="1" x14ac:dyDescent="0.35">
      <c r="A11" s="56"/>
      <c r="B11" s="62"/>
      <c r="C11" s="62"/>
      <c r="D11" s="62"/>
      <c r="E11" s="62"/>
      <c r="F11" s="56"/>
    </row>
    <row r="12" spans="1:15" ht="16.2" thickBot="1" x14ac:dyDescent="0.35">
      <c r="A12" s="57" t="s">
        <v>158</v>
      </c>
      <c r="B12" s="88"/>
      <c r="C12" s="89"/>
      <c r="D12" s="89"/>
      <c r="E12" s="89"/>
      <c r="F12" s="90"/>
    </row>
    <row r="13" spans="1:15" ht="29.4" customHeight="1" thickBot="1" x14ac:dyDescent="0.35">
      <c r="A13" s="100" t="s">
        <v>180</v>
      </c>
      <c r="B13" s="63"/>
      <c r="C13" s="63"/>
      <c r="D13" s="64"/>
      <c r="E13" s="101"/>
      <c r="F13" s="102"/>
    </row>
    <row r="14" spans="1:15" x14ac:dyDescent="0.3">
      <c r="A14" s="100"/>
      <c r="B14" s="103" t="s">
        <v>159</v>
      </c>
      <c r="C14" s="109" t="s">
        <v>160</v>
      </c>
      <c r="D14" s="110"/>
      <c r="E14" s="105" t="s">
        <v>162</v>
      </c>
      <c r="F14" s="107" t="s">
        <v>163</v>
      </c>
    </row>
    <row r="15" spans="1:15" ht="43.8" customHeight="1" thickBot="1" x14ac:dyDescent="0.35">
      <c r="A15" s="100"/>
      <c r="B15" s="104"/>
      <c r="C15" s="78" t="s">
        <v>192</v>
      </c>
      <c r="D15" s="65" t="s">
        <v>161</v>
      </c>
      <c r="E15" s="106"/>
      <c r="F15" s="108"/>
    </row>
    <row r="16" spans="1:15" ht="15" thickBot="1" x14ac:dyDescent="0.35">
      <c r="A16" s="100"/>
      <c r="B16" s="66" t="s">
        <v>164</v>
      </c>
      <c r="C16" s="80">
        <v>0.08</v>
      </c>
      <c r="D16" s="67">
        <v>3.9E-2</v>
      </c>
      <c r="E16" s="69"/>
      <c r="F16" s="68"/>
      <c r="H16" t="s">
        <v>181</v>
      </c>
      <c r="I16" t="s">
        <v>182</v>
      </c>
      <c r="O16" s="82"/>
    </row>
    <row r="17" spans="1:15" ht="15" customHeight="1" thickBot="1" x14ac:dyDescent="0.35">
      <c r="A17" s="100"/>
      <c r="B17" s="66" t="s">
        <v>165</v>
      </c>
      <c r="C17" s="81">
        <v>9.0999999999999998E-2</v>
      </c>
      <c r="D17" s="67">
        <v>4.3999999999999997E-2</v>
      </c>
      <c r="E17" s="69"/>
      <c r="F17" s="68"/>
      <c r="O17" s="83"/>
    </row>
    <row r="18" spans="1:15" ht="15" thickBot="1" x14ac:dyDescent="0.35">
      <c r="A18" s="100"/>
      <c r="B18" s="66" t="s">
        <v>166</v>
      </c>
      <c r="C18" s="81">
        <v>0.105</v>
      </c>
      <c r="D18" s="67">
        <v>5.0999999999999997E-2</v>
      </c>
      <c r="E18" s="69"/>
      <c r="F18" s="68"/>
      <c r="O18" s="83"/>
    </row>
    <row r="19" spans="1:15" ht="15" thickBot="1" x14ac:dyDescent="0.35">
      <c r="A19" s="100"/>
      <c r="B19" s="66" t="s">
        <v>167</v>
      </c>
      <c r="C19" s="81">
        <v>0.121</v>
      </c>
      <c r="D19" s="67">
        <v>5.8000000000000003E-2</v>
      </c>
      <c r="E19" s="69"/>
      <c r="F19" s="68"/>
      <c r="O19" s="83"/>
    </row>
    <row r="20" spans="1:15" ht="15" thickBot="1" x14ac:dyDescent="0.35">
      <c r="A20" s="100"/>
      <c r="B20" s="66" t="s">
        <v>168</v>
      </c>
      <c r="C20" s="81">
        <v>0.13800000000000001</v>
      </c>
      <c r="D20" s="67">
        <v>6.7000000000000004E-2</v>
      </c>
      <c r="E20" s="69"/>
      <c r="F20" s="68"/>
      <c r="O20" s="83"/>
    </row>
    <row r="21" spans="1:15" ht="15" thickBot="1" x14ac:dyDescent="0.35">
      <c r="A21" s="100"/>
      <c r="B21" s="66" t="s">
        <v>169</v>
      </c>
      <c r="C21" s="81">
        <v>0.159</v>
      </c>
      <c r="D21" s="67">
        <v>7.6999999999999999E-2</v>
      </c>
      <c r="E21" s="69"/>
      <c r="F21" s="68"/>
      <c r="O21" s="83"/>
    </row>
    <row r="22" spans="1:15" ht="15" thickBot="1" x14ac:dyDescent="0.35">
      <c r="A22" s="100"/>
      <c r="B22" s="66" t="s">
        <v>170</v>
      </c>
      <c r="C22" s="81">
        <v>0.184</v>
      </c>
      <c r="D22" s="67">
        <v>8.8999999999999996E-2</v>
      </c>
      <c r="E22" s="69"/>
      <c r="F22" s="68"/>
      <c r="O22" s="83"/>
    </row>
    <row r="23" spans="1:15" ht="15" thickBot="1" x14ac:dyDescent="0.35">
      <c r="A23" s="100"/>
      <c r="B23" s="66" t="s">
        <v>171</v>
      </c>
      <c r="C23" s="81">
        <v>0.21199999999999999</v>
      </c>
      <c r="D23" s="67">
        <v>0.10199999999999999</v>
      </c>
      <c r="E23" s="69"/>
      <c r="F23" s="68"/>
      <c r="O23" s="83"/>
    </row>
    <row r="24" spans="1:15" ht="15" thickBot="1" x14ac:dyDescent="0.35">
      <c r="A24" s="100"/>
      <c r="B24" s="66" t="s">
        <v>172</v>
      </c>
      <c r="C24" s="81">
        <v>0.245</v>
      </c>
      <c r="D24" s="67">
        <v>0.11799999999999999</v>
      </c>
      <c r="E24" s="69"/>
      <c r="F24" s="68"/>
      <c r="O24" s="83"/>
    </row>
    <row r="25" spans="1:15" ht="15" thickBot="1" x14ac:dyDescent="0.35">
      <c r="A25" s="100"/>
      <c r="B25" s="66" t="s">
        <v>173</v>
      </c>
      <c r="C25" s="81">
        <v>0.28100000000000003</v>
      </c>
      <c r="D25" s="67">
        <v>0.13600000000000001</v>
      </c>
      <c r="E25" s="69"/>
      <c r="F25" s="68"/>
      <c r="O25" s="83"/>
    </row>
    <row r="26" spans="1:15" ht="15" thickBot="1" x14ac:dyDescent="0.35">
      <c r="A26" s="100"/>
      <c r="B26" s="66" t="s">
        <v>174</v>
      </c>
      <c r="C26" s="81">
        <v>0.312</v>
      </c>
      <c r="D26" s="67">
        <v>0.151</v>
      </c>
      <c r="E26" s="69"/>
      <c r="F26" s="68"/>
      <c r="O26" s="83"/>
    </row>
    <row r="27" spans="1:15" ht="15" thickBot="1" x14ac:dyDescent="0.35">
      <c r="A27" s="60"/>
      <c r="B27" s="61"/>
      <c r="C27" s="75"/>
      <c r="D27" s="77"/>
      <c r="E27" s="70"/>
      <c r="F27" s="71"/>
      <c r="O27" s="83"/>
    </row>
    <row r="28" spans="1:15" ht="15" thickBot="1" x14ac:dyDescent="0.35">
      <c r="A28" s="56"/>
      <c r="B28" s="56"/>
      <c r="C28" s="56"/>
      <c r="D28" s="56"/>
      <c r="E28" s="56"/>
      <c r="F28" s="56"/>
      <c r="O28" s="83"/>
    </row>
    <row r="29" spans="1:15" ht="15.6" x14ac:dyDescent="0.3">
      <c r="A29" s="57" t="s">
        <v>175</v>
      </c>
      <c r="B29" s="88" t="s">
        <v>176</v>
      </c>
      <c r="C29" s="89"/>
      <c r="D29" s="89"/>
      <c r="E29" s="89"/>
      <c r="F29" s="90"/>
    </row>
    <row r="30" spans="1:15" ht="28.8" x14ac:dyDescent="0.3">
      <c r="A30" s="58" t="s">
        <v>177</v>
      </c>
      <c r="B30" s="72">
        <v>6.3E-3</v>
      </c>
      <c r="C30" s="79"/>
      <c r="D30" s="96"/>
      <c r="E30" s="96"/>
      <c r="F30" s="97"/>
    </row>
    <row r="31" spans="1:15" x14ac:dyDescent="0.3">
      <c r="A31" s="73" t="s">
        <v>178</v>
      </c>
      <c r="B31" s="98" t="s">
        <v>179</v>
      </c>
      <c r="C31" s="99"/>
      <c r="D31" s="99"/>
      <c r="E31" s="99"/>
      <c r="F31" s="95"/>
    </row>
    <row r="32" spans="1:15" ht="15" thickBot="1" x14ac:dyDescent="0.35">
      <c r="A32" s="60"/>
      <c r="B32" s="85"/>
      <c r="C32" s="86"/>
      <c r="D32" s="86"/>
      <c r="E32" s="86"/>
      <c r="F32" s="87"/>
    </row>
  </sheetData>
  <mergeCells count="17">
    <mergeCell ref="D30:F30"/>
    <mergeCell ref="B31:F31"/>
    <mergeCell ref="B32:F32"/>
    <mergeCell ref="A13:A26"/>
    <mergeCell ref="B12:F12"/>
    <mergeCell ref="E13:F13"/>
    <mergeCell ref="B14:B15"/>
    <mergeCell ref="E14:E15"/>
    <mergeCell ref="F14:F15"/>
    <mergeCell ref="B29:F29"/>
    <mergeCell ref="C14:D14"/>
    <mergeCell ref="B10:F10"/>
    <mergeCell ref="B4:F4"/>
    <mergeCell ref="B5:F5"/>
    <mergeCell ref="B6:F6"/>
    <mergeCell ref="B8:F8"/>
    <mergeCell ref="D9:F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8" sqref="A8"/>
    </sheetView>
  </sheetViews>
  <sheetFormatPr defaultRowHeight="14.4" x14ac:dyDescent="0.3"/>
  <cols>
    <col min="1" max="1" width="136.44140625" bestFit="1" customWidth="1"/>
  </cols>
  <sheetData>
    <row r="1" spans="1:1" ht="18.75" x14ac:dyDescent="0.3">
      <c r="A1" s="43" t="s">
        <v>119</v>
      </c>
    </row>
    <row r="4" spans="1:1" ht="15" x14ac:dyDescent="0.25">
      <c r="A4" s="44" t="s">
        <v>120</v>
      </c>
    </row>
    <row r="5" spans="1:1" ht="15" x14ac:dyDescent="0.25">
      <c r="A5" s="44" t="s">
        <v>121</v>
      </c>
    </row>
    <row r="6" spans="1:1" ht="15" x14ac:dyDescent="0.25">
      <c r="A6" s="44" t="s">
        <v>122</v>
      </c>
    </row>
    <row r="7" spans="1:1" ht="15" x14ac:dyDescent="0.25">
      <c r="A7" s="44" t="s">
        <v>123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workbookViewId="0">
      <selection activeCell="B60" sqref="B60"/>
    </sheetView>
  </sheetViews>
  <sheetFormatPr defaultRowHeight="14.4" x14ac:dyDescent="0.3"/>
  <cols>
    <col min="2" max="2" width="23.109375" customWidth="1"/>
    <col min="3" max="3" width="14" bestFit="1" customWidth="1"/>
  </cols>
  <sheetData>
    <row r="1" spans="1:11" ht="18.75" x14ac:dyDescent="0.3">
      <c r="A1" s="43" t="s">
        <v>116</v>
      </c>
    </row>
    <row r="4" spans="1:11" ht="15" x14ac:dyDescent="0.25">
      <c r="A4" s="84" t="s">
        <v>115</v>
      </c>
      <c r="B4" s="84"/>
      <c r="C4" s="84"/>
      <c r="D4" s="84"/>
      <c r="E4" s="84"/>
      <c r="F4" s="84"/>
      <c r="G4" s="84"/>
      <c r="H4" s="84"/>
      <c r="I4" s="84"/>
      <c r="J4" s="84"/>
      <c r="K4" s="84"/>
    </row>
    <row r="5" spans="1:11" ht="15" x14ac:dyDescent="0.25">
      <c r="B5" t="s">
        <v>34</v>
      </c>
      <c r="C5" s="38">
        <v>60000</v>
      </c>
    </row>
    <row r="6" spans="1:11" ht="15" x14ac:dyDescent="0.25">
      <c r="B6" t="s">
        <v>99</v>
      </c>
      <c r="C6">
        <v>156</v>
      </c>
      <c r="E6" t="s">
        <v>101</v>
      </c>
    </row>
    <row r="7" spans="1:11" ht="15" x14ac:dyDescent="0.25">
      <c r="B7" t="s">
        <v>100</v>
      </c>
      <c r="C7" s="39">
        <v>1</v>
      </c>
    </row>
    <row r="8" spans="1:11" ht="15" x14ac:dyDescent="0.25">
      <c r="C8" s="39"/>
    </row>
    <row r="9" spans="1:11" ht="15" x14ac:dyDescent="0.25">
      <c r="C9" s="39"/>
    </row>
    <row r="10" spans="1:11" ht="15" x14ac:dyDescent="0.25">
      <c r="A10" s="84" t="s">
        <v>125</v>
      </c>
      <c r="B10" s="84"/>
      <c r="C10" s="84"/>
      <c r="D10" s="84"/>
      <c r="E10" s="84"/>
      <c r="F10" s="84"/>
      <c r="G10" s="84"/>
      <c r="H10" s="84"/>
      <c r="I10" s="84"/>
      <c r="J10" s="84"/>
      <c r="K10" s="84"/>
    </row>
    <row r="11" spans="1:11" ht="15" x14ac:dyDescent="0.25">
      <c r="B11" t="s">
        <v>34</v>
      </c>
      <c r="C11" s="38">
        <v>60000</v>
      </c>
    </row>
    <row r="12" spans="1:11" ht="15" x14ac:dyDescent="0.25">
      <c r="B12" t="s">
        <v>99</v>
      </c>
      <c r="C12">
        <v>85.55</v>
      </c>
      <c r="E12" t="s">
        <v>126</v>
      </c>
    </row>
    <row r="13" spans="1:11" ht="15" x14ac:dyDescent="0.25">
      <c r="B13" t="s">
        <v>100</v>
      </c>
      <c r="C13" s="39">
        <v>1</v>
      </c>
    </row>
    <row r="14" spans="1:11" ht="15" x14ac:dyDescent="0.25">
      <c r="C14" s="39"/>
    </row>
    <row r="16" spans="1:11" ht="15" x14ac:dyDescent="0.25">
      <c r="A16" s="84" t="s">
        <v>103</v>
      </c>
      <c r="B16" s="84"/>
      <c r="C16" s="84"/>
      <c r="D16" s="84"/>
      <c r="E16" s="84"/>
      <c r="F16" s="84"/>
      <c r="G16" s="84"/>
      <c r="H16" s="84"/>
      <c r="I16" s="84"/>
      <c r="J16" s="84"/>
      <c r="K16" s="84"/>
    </row>
    <row r="17" spans="1:11" ht="15" x14ac:dyDescent="0.25">
      <c r="B17" t="s">
        <v>34</v>
      </c>
      <c r="C17" s="38">
        <v>60000</v>
      </c>
    </row>
    <row r="18" spans="1:11" ht="15" x14ac:dyDescent="0.25">
      <c r="B18" t="s">
        <v>99</v>
      </c>
      <c r="C18">
        <v>78</v>
      </c>
    </row>
    <row r="19" spans="1:11" ht="15" x14ac:dyDescent="0.25">
      <c r="B19" t="s">
        <v>100</v>
      </c>
      <c r="C19" s="39">
        <v>0.5</v>
      </c>
      <c r="E19" t="s">
        <v>102</v>
      </c>
    </row>
    <row r="20" spans="1:11" ht="15" x14ac:dyDescent="0.25">
      <c r="B20" s="36"/>
    </row>
    <row r="21" spans="1:11" ht="15" x14ac:dyDescent="0.25">
      <c r="B21" s="37"/>
    </row>
    <row r="22" spans="1:11" ht="15" x14ac:dyDescent="0.25">
      <c r="A22" s="84" t="s">
        <v>104</v>
      </c>
      <c r="B22" s="84"/>
      <c r="C22" s="84"/>
      <c r="D22" s="84"/>
      <c r="E22" s="84"/>
      <c r="F22" s="84"/>
      <c r="G22" s="84"/>
      <c r="H22" s="84"/>
      <c r="I22" s="84"/>
      <c r="J22" s="84"/>
      <c r="K22" s="84"/>
    </row>
    <row r="23" spans="1:11" x14ac:dyDescent="0.3">
      <c r="B23" t="s">
        <v>34</v>
      </c>
      <c r="C23" s="38">
        <v>60000</v>
      </c>
    </row>
    <row r="24" spans="1:11" x14ac:dyDescent="0.3">
      <c r="B24" t="s">
        <v>99</v>
      </c>
      <c r="C24">
        <v>156</v>
      </c>
    </row>
    <row r="25" spans="1:11" x14ac:dyDescent="0.3">
      <c r="B25" t="s">
        <v>100</v>
      </c>
      <c r="C25" s="39">
        <v>0.5</v>
      </c>
      <c r="E25" t="s">
        <v>105</v>
      </c>
    </row>
    <row r="26" spans="1:11" x14ac:dyDescent="0.3">
      <c r="B26" s="37"/>
    </row>
    <row r="27" spans="1:11" x14ac:dyDescent="0.3">
      <c r="B27" s="37"/>
    </row>
    <row r="28" spans="1:11" x14ac:dyDescent="0.3">
      <c r="A28" s="84" t="s">
        <v>106</v>
      </c>
      <c r="B28" s="84"/>
      <c r="C28" s="84"/>
      <c r="D28" s="84"/>
      <c r="E28" s="84"/>
      <c r="F28" s="84"/>
      <c r="G28" s="84"/>
      <c r="H28" s="84"/>
      <c r="I28" s="84"/>
      <c r="J28" s="84"/>
      <c r="K28" s="84"/>
    </row>
    <row r="29" spans="1:11" x14ac:dyDescent="0.3">
      <c r="B29" t="s">
        <v>34</v>
      </c>
      <c r="C29" s="38">
        <v>60000</v>
      </c>
    </row>
    <row r="30" spans="1:11" x14ac:dyDescent="0.3">
      <c r="B30" t="s">
        <v>99</v>
      </c>
      <c r="C30">
        <v>78</v>
      </c>
    </row>
    <row r="31" spans="1:11" x14ac:dyDescent="0.3">
      <c r="B31" t="s">
        <v>100</v>
      </c>
      <c r="C31" s="39">
        <v>0</v>
      </c>
    </row>
    <row r="32" spans="1:11" x14ac:dyDescent="0.3">
      <c r="C32" s="39"/>
    </row>
    <row r="33" spans="1:11" x14ac:dyDescent="0.3">
      <c r="B33" s="37"/>
    </row>
    <row r="34" spans="1:11" x14ac:dyDescent="0.3">
      <c r="A34" s="84" t="s">
        <v>107</v>
      </c>
      <c r="B34" s="84"/>
      <c r="C34" s="84"/>
      <c r="D34" s="84"/>
      <c r="E34" s="84"/>
      <c r="F34" s="84"/>
      <c r="G34" s="84"/>
      <c r="H34" s="84"/>
      <c r="I34" s="84"/>
      <c r="J34" s="84"/>
      <c r="K34" s="84"/>
    </row>
    <row r="35" spans="1:11" x14ac:dyDescent="0.3">
      <c r="B35" t="s">
        <v>34</v>
      </c>
      <c r="C35" s="38">
        <v>60000</v>
      </c>
    </row>
    <row r="36" spans="1:11" x14ac:dyDescent="0.3">
      <c r="B36" t="s">
        <v>99</v>
      </c>
      <c r="C36">
        <v>0</v>
      </c>
    </row>
    <row r="37" spans="1:11" x14ac:dyDescent="0.3">
      <c r="B37" t="s">
        <v>100</v>
      </c>
      <c r="C37" s="39">
        <v>0</v>
      </c>
    </row>
    <row r="38" spans="1:11" x14ac:dyDescent="0.3">
      <c r="B38" s="37"/>
    </row>
    <row r="39" spans="1:11" x14ac:dyDescent="0.3">
      <c r="B39" s="37"/>
    </row>
    <row r="40" spans="1:11" x14ac:dyDescent="0.3">
      <c r="A40" s="84" t="s">
        <v>108</v>
      </c>
      <c r="B40" s="84"/>
      <c r="C40" s="84"/>
      <c r="D40" s="84"/>
      <c r="E40" s="84"/>
      <c r="F40" s="84"/>
      <c r="G40" s="84"/>
      <c r="H40" s="84"/>
      <c r="I40" s="84"/>
      <c r="J40" s="84"/>
      <c r="K40" s="84"/>
    </row>
    <row r="41" spans="1:11" x14ac:dyDescent="0.3">
      <c r="B41" t="s">
        <v>34</v>
      </c>
      <c r="C41" s="38">
        <v>60000</v>
      </c>
    </row>
    <row r="42" spans="1:11" x14ac:dyDescent="0.3">
      <c r="B42" t="s">
        <v>99</v>
      </c>
      <c r="C42">
        <v>124.8</v>
      </c>
    </row>
    <row r="43" spans="1:11" x14ac:dyDescent="0.3">
      <c r="B43" t="s">
        <v>100</v>
      </c>
      <c r="C43" s="41" t="s">
        <v>109</v>
      </c>
      <c r="E43" s="42" t="s">
        <v>110</v>
      </c>
    </row>
    <row r="44" spans="1:11" x14ac:dyDescent="0.3">
      <c r="B44" s="40" t="s">
        <v>111</v>
      </c>
    </row>
    <row r="45" spans="1:11" x14ac:dyDescent="0.3">
      <c r="B45" s="37"/>
    </row>
    <row r="46" spans="1:11" x14ac:dyDescent="0.3">
      <c r="B46" s="36"/>
    </row>
    <row r="47" spans="1:11" x14ac:dyDescent="0.3">
      <c r="A47" s="84" t="s">
        <v>112</v>
      </c>
      <c r="B47" s="84"/>
      <c r="C47" s="84"/>
      <c r="D47" s="84"/>
      <c r="E47" s="84"/>
      <c r="F47" s="84"/>
      <c r="G47" s="84"/>
      <c r="H47" s="84"/>
      <c r="I47" s="84"/>
      <c r="J47" s="84"/>
      <c r="K47" s="84"/>
    </row>
    <row r="48" spans="1:11" x14ac:dyDescent="0.3">
      <c r="B48" t="s">
        <v>34</v>
      </c>
      <c r="C48" s="38">
        <v>60000</v>
      </c>
    </row>
    <row r="49" spans="1:11" x14ac:dyDescent="0.3">
      <c r="B49" t="s">
        <v>99</v>
      </c>
      <c r="C49" s="42" t="s">
        <v>113</v>
      </c>
    </row>
    <row r="50" spans="1:11" x14ac:dyDescent="0.3">
      <c r="B50" t="s">
        <v>100</v>
      </c>
      <c r="C50" s="41" t="s">
        <v>114</v>
      </c>
      <c r="E50" s="42" t="s">
        <v>110</v>
      </c>
    </row>
    <row r="51" spans="1:11" x14ac:dyDescent="0.3">
      <c r="B51" s="40" t="s">
        <v>111</v>
      </c>
    </row>
    <row r="52" spans="1:11" x14ac:dyDescent="0.3">
      <c r="B52" s="36"/>
    </row>
    <row r="53" spans="1:11" x14ac:dyDescent="0.3">
      <c r="B53" s="37"/>
    </row>
    <row r="54" spans="1:11" x14ac:dyDescent="0.3">
      <c r="A54" s="84" t="s">
        <v>127</v>
      </c>
      <c r="B54" s="84"/>
      <c r="C54" s="84"/>
      <c r="D54" s="84"/>
      <c r="E54" s="84"/>
      <c r="F54" s="84"/>
      <c r="G54" s="84"/>
      <c r="H54" s="84"/>
      <c r="I54" s="84"/>
      <c r="J54" s="84"/>
      <c r="K54" s="84"/>
    </row>
    <row r="55" spans="1:11" x14ac:dyDescent="0.3">
      <c r="B55" s="40" t="s">
        <v>128</v>
      </c>
    </row>
    <row r="56" spans="1:11" x14ac:dyDescent="0.3">
      <c r="B56" s="40" t="s">
        <v>129</v>
      </c>
    </row>
    <row r="57" spans="1:11" x14ac:dyDescent="0.3">
      <c r="B57" s="40" t="s">
        <v>130</v>
      </c>
    </row>
    <row r="59" spans="1:11" x14ac:dyDescent="0.3">
      <c r="B59" s="45" t="s">
        <v>131</v>
      </c>
    </row>
  </sheetData>
  <mergeCells count="9">
    <mergeCell ref="A4:K4"/>
    <mergeCell ref="A10:K10"/>
    <mergeCell ref="A54:K54"/>
    <mergeCell ref="A47:K47"/>
    <mergeCell ref="A40:K40"/>
    <mergeCell ref="A34:K34"/>
    <mergeCell ref="A28:K28"/>
    <mergeCell ref="A22:K22"/>
    <mergeCell ref="A16:K1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tabColor theme="3" tint="0.59999389629810485"/>
  </sheetPr>
  <dimension ref="A2:O38"/>
  <sheetViews>
    <sheetView topLeftCell="A8" workbookViewId="0">
      <selection activeCell="H26" sqref="H26"/>
    </sheetView>
  </sheetViews>
  <sheetFormatPr defaultColWidth="9.109375" defaultRowHeight="13.8" x14ac:dyDescent="0.3"/>
  <cols>
    <col min="1" max="1" width="10" style="3" customWidth="1"/>
    <col min="2" max="2" width="26.88671875" style="3" customWidth="1"/>
    <col min="3" max="15" width="12.5546875" style="3" customWidth="1"/>
    <col min="16" max="16384" width="9.109375" style="3"/>
  </cols>
  <sheetData>
    <row r="2" spans="1:15" ht="15.75" x14ac:dyDescent="0.25">
      <c r="A2" s="26" t="s">
        <v>91</v>
      </c>
      <c r="B2" s="26" t="s">
        <v>92</v>
      </c>
    </row>
    <row r="5" spans="1:15" ht="12.75" customHeight="1" x14ac:dyDescent="0.25">
      <c r="A5" s="17"/>
    </row>
    <row r="6" spans="1:15" ht="12.75" x14ac:dyDescent="0.2">
      <c r="B6" s="14" t="s">
        <v>38</v>
      </c>
      <c r="E6" s="14" t="s">
        <v>86</v>
      </c>
      <c r="K6" s="6"/>
      <c r="L6" s="8" t="s">
        <v>81</v>
      </c>
    </row>
    <row r="7" spans="1:15" ht="12.75" x14ac:dyDescent="0.2">
      <c r="B7" s="3" t="s">
        <v>39</v>
      </c>
      <c r="C7" s="10">
        <v>13344</v>
      </c>
      <c r="E7" s="3" t="s">
        <v>5</v>
      </c>
      <c r="F7" s="12">
        <v>43115</v>
      </c>
      <c r="K7" s="9"/>
      <c r="L7" s="8" t="s">
        <v>82</v>
      </c>
    </row>
    <row r="8" spans="1:15" ht="12.75" x14ac:dyDescent="0.2">
      <c r="B8" s="3" t="s">
        <v>40</v>
      </c>
      <c r="C8" s="10">
        <v>105075</v>
      </c>
      <c r="E8" s="3" t="s">
        <v>6</v>
      </c>
      <c r="F8" s="12">
        <v>43269</v>
      </c>
      <c r="I8" s="4"/>
    </row>
    <row r="9" spans="1:15" ht="12.75" x14ac:dyDescent="0.2">
      <c r="B9" s="3" t="s">
        <v>41</v>
      </c>
      <c r="C9" s="11">
        <v>0.24</v>
      </c>
      <c r="I9" s="4"/>
    </row>
    <row r="10" spans="1:15" ht="12.75" x14ac:dyDescent="0.2">
      <c r="B10" s="3" t="s">
        <v>93</v>
      </c>
      <c r="C10" s="11">
        <v>0.05</v>
      </c>
      <c r="E10" s="3" t="s">
        <v>74</v>
      </c>
      <c r="F10" s="9" t="s">
        <v>46</v>
      </c>
      <c r="H10" s="3" t="s">
        <v>75</v>
      </c>
      <c r="I10" s="3">
        <v>12</v>
      </c>
    </row>
    <row r="11" spans="1:15" ht="12.75" x14ac:dyDescent="0.2">
      <c r="I11" s="4"/>
    </row>
    <row r="12" spans="1:15" ht="12.75" hidden="1" x14ac:dyDescent="0.2">
      <c r="C12" s="3">
        <v>1</v>
      </c>
      <c r="D12" s="3">
        <v>2</v>
      </c>
      <c r="E12" s="3">
        <v>3</v>
      </c>
      <c r="F12" s="3">
        <v>4</v>
      </c>
      <c r="G12" s="3">
        <v>5</v>
      </c>
      <c r="H12" s="3">
        <v>6</v>
      </c>
      <c r="I12" s="3">
        <v>7</v>
      </c>
      <c r="J12" s="3">
        <v>8</v>
      </c>
      <c r="K12" s="3">
        <v>9</v>
      </c>
      <c r="L12" s="3">
        <v>10</v>
      </c>
      <c r="M12" s="3">
        <v>11</v>
      </c>
      <c r="N12" s="3">
        <v>12</v>
      </c>
      <c r="O12" s="3">
        <v>13</v>
      </c>
    </row>
    <row r="13" spans="1:15" s="16" customFormat="1" ht="12.75" x14ac:dyDescent="0.2">
      <c r="B13" s="15" t="s">
        <v>0</v>
      </c>
      <c r="C13" s="15" t="str">
        <f>VLOOKUP($F$10&amp;C12,Tijdvakken!$A:$B,2,0)</f>
        <v>Januari</v>
      </c>
      <c r="D13" s="15" t="str">
        <f>VLOOKUP($F$10&amp;D12,Tijdvakken!$A:$B,2,0)</f>
        <v>Februari</v>
      </c>
      <c r="E13" s="15" t="str">
        <f>VLOOKUP($F$10&amp;E12,Tijdvakken!$A:$B,2,0)</f>
        <v>Maart</v>
      </c>
      <c r="F13" s="15" t="str">
        <f>VLOOKUP($F$10&amp;F12,Tijdvakken!$A:$B,2,0)</f>
        <v>April</v>
      </c>
      <c r="G13" s="15" t="str">
        <f>VLOOKUP($F$10&amp;G12,Tijdvakken!$A:$B,2,0)</f>
        <v>Mei</v>
      </c>
      <c r="H13" s="15" t="str">
        <f>VLOOKUP($F$10&amp;H12,Tijdvakken!$A:$B,2,0)</f>
        <v>Juni</v>
      </c>
      <c r="I13" s="15" t="str">
        <f>VLOOKUP($F$10&amp;I12,Tijdvakken!$A:$B,2,0)</f>
        <v>Juli</v>
      </c>
      <c r="J13" s="15" t="str">
        <f>VLOOKUP($F$10&amp;J12,Tijdvakken!$A:$B,2,0)</f>
        <v>Augustus</v>
      </c>
      <c r="K13" s="15" t="str">
        <f>VLOOKUP($F$10&amp;K12,Tijdvakken!$A:$B,2,0)</f>
        <v>September</v>
      </c>
      <c r="L13" s="15" t="str">
        <f>VLOOKUP($F$10&amp;L12,Tijdvakken!$A:$B,2,0)</f>
        <v>Oktober</v>
      </c>
      <c r="M13" s="15" t="str">
        <f>VLOOKUP($F$10&amp;M12,Tijdvakken!$A:$B,2,0)</f>
        <v>November</v>
      </c>
      <c r="N13" s="15" t="str">
        <f>VLOOKUP($F$10&amp;N12,Tijdvakken!$A:$B,2,0)</f>
        <v>December</v>
      </c>
      <c r="O13" s="15" t="e">
        <f>VLOOKUP($F$10&amp;O12,Tijdvakken!$A:$B,2,0)</f>
        <v>#N/A</v>
      </c>
    </row>
    <row r="14" spans="1:15" ht="12.75" x14ac:dyDescent="0.2">
      <c r="B14" s="6" t="s">
        <v>3</v>
      </c>
      <c r="C14" s="4">
        <f t="shared" ref="C14:O14" si="0">VLOOKUP(C13,TabelTijdvak,2,0)</f>
        <v>43101</v>
      </c>
      <c r="D14" s="4">
        <f t="shared" si="0"/>
        <v>43132</v>
      </c>
      <c r="E14" s="4">
        <f t="shared" si="0"/>
        <v>43160</v>
      </c>
      <c r="F14" s="4">
        <f t="shared" si="0"/>
        <v>43191</v>
      </c>
      <c r="G14" s="4">
        <f t="shared" si="0"/>
        <v>43221</v>
      </c>
      <c r="H14" s="4">
        <f t="shared" si="0"/>
        <v>43252</v>
      </c>
      <c r="I14" s="4">
        <f t="shared" si="0"/>
        <v>43282</v>
      </c>
      <c r="J14" s="4">
        <f t="shared" si="0"/>
        <v>43313</v>
      </c>
      <c r="K14" s="4">
        <f t="shared" si="0"/>
        <v>43344</v>
      </c>
      <c r="L14" s="4">
        <f t="shared" si="0"/>
        <v>43374</v>
      </c>
      <c r="M14" s="4">
        <f t="shared" si="0"/>
        <v>43405</v>
      </c>
      <c r="N14" s="4">
        <f t="shared" si="0"/>
        <v>43435</v>
      </c>
      <c r="O14" s="4" t="e">
        <f t="shared" si="0"/>
        <v>#N/A</v>
      </c>
    </row>
    <row r="15" spans="1:15" ht="12.75" x14ac:dyDescent="0.2">
      <c r="B15" s="6" t="s">
        <v>4</v>
      </c>
      <c r="C15" s="4">
        <f t="shared" ref="C15:O15" si="1">VLOOKUP(C13,TabelTijdvak,3,0)</f>
        <v>43131</v>
      </c>
      <c r="D15" s="4">
        <f t="shared" si="1"/>
        <v>43159</v>
      </c>
      <c r="E15" s="4">
        <f t="shared" si="1"/>
        <v>43190</v>
      </c>
      <c r="F15" s="4">
        <f t="shared" si="1"/>
        <v>43220</v>
      </c>
      <c r="G15" s="4">
        <f t="shared" si="1"/>
        <v>43251</v>
      </c>
      <c r="H15" s="4">
        <f t="shared" si="1"/>
        <v>43281</v>
      </c>
      <c r="I15" s="4">
        <f t="shared" si="1"/>
        <v>43312</v>
      </c>
      <c r="J15" s="4">
        <f t="shared" si="1"/>
        <v>43343</v>
      </c>
      <c r="K15" s="4">
        <f t="shared" si="1"/>
        <v>43373</v>
      </c>
      <c r="L15" s="4">
        <f t="shared" si="1"/>
        <v>43404</v>
      </c>
      <c r="M15" s="4">
        <f t="shared" si="1"/>
        <v>43434</v>
      </c>
      <c r="N15" s="4">
        <f t="shared" si="1"/>
        <v>43465</v>
      </c>
      <c r="O15" s="4" t="e">
        <f t="shared" si="1"/>
        <v>#N/A</v>
      </c>
    </row>
    <row r="16" spans="1:15" ht="12.75" x14ac:dyDescent="0.2">
      <c r="C16" s="4"/>
      <c r="D16" s="4"/>
      <c r="E16" s="4"/>
      <c r="F16" s="4"/>
      <c r="G16" s="4"/>
      <c r="H16" s="4"/>
      <c r="I16" s="4"/>
      <c r="J16" s="4"/>
      <c r="K16" s="4"/>
      <c r="L16" s="4"/>
      <c r="M16" s="4"/>
      <c r="N16" s="4"/>
      <c r="O16" s="4"/>
    </row>
    <row r="17" spans="2:15" ht="12.75" x14ac:dyDescent="0.2">
      <c r="B17" s="6" t="s">
        <v>32</v>
      </c>
      <c r="C17" s="4">
        <f t="shared" ref="C17:O17" si="2">IF(OR($F$7&gt;C15,AND($F$8&lt;C14,$F$8&lt;&gt;0)),"",MAX(C14,$F$7))</f>
        <v>43115</v>
      </c>
      <c r="D17" s="4">
        <f t="shared" si="2"/>
        <v>43132</v>
      </c>
      <c r="E17" s="4">
        <f t="shared" si="2"/>
        <v>43160</v>
      </c>
      <c r="F17" s="4">
        <f t="shared" si="2"/>
        <v>43191</v>
      </c>
      <c r="G17" s="4">
        <f t="shared" si="2"/>
        <v>43221</v>
      </c>
      <c r="H17" s="4">
        <f t="shared" si="2"/>
        <v>43252</v>
      </c>
      <c r="I17" s="4" t="str">
        <f t="shared" si="2"/>
        <v/>
      </c>
      <c r="J17" s="4" t="str">
        <f t="shared" si="2"/>
        <v/>
      </c>
      <c r="K17" s="4" t="str">
        <f t="shared" si="2"/>
        <v/>
      </c>
      <c r="L17" s="4" t="str">
        <f t="shared" si="2"/>
        <v/>
      </c>
      <c r="M17" s="4" t="str">
        <f t="shared" si="2"/>
        <v/>
      </c>
      <c r="N17" s="4" t="str">
        <f t="shared" si="2"/>
        <v/>
      </c>
      <c r="O17" s="4" t="e">
        <f t="shared" si="2"/>
        <v>#N/A</v>
      </c>
    </row>
    <row r="18" spans="2:15" ht="12.75" x14ac:dyDescent="0.2">
      <c r="B18" s="6" t="s">
        <v>33</v>
      </c>
      <c r="C18" s="4">
        <f t="shared" ref="C18:O18" si="3">IF(OR($F$7&gt;C15,AND($F$8&lt;C14,$F$8&lt;&gt;0)),"",MIN(C15,$F$8))</f>
        <v>43131</v>
      </c>
      <c r="D18" s="4">
        <f t="shared" si="3"/>
        <v>43159</v>
      </c>
      <c r="E18" s="4">
        <f t="shared" si="3"/>
        <v>43190</v>
      </c>
      <c r="F18" s="4">
        <f t="shared" si="3"/>
        <v>43220</v>
      </c>
      <c r="G18" s="4">
        <f t="shared" si="3"/>
        <v>43251</v>
      </c>
      <c r="H18" s="4">
        <f t="shared" si="3"/>
        <v>43269</v>
      </c>
      <c r="I18" s="4" t="str">
        <f t="shared" si="3"/>
        <v/>
      </c>
      <c r="J18" s="4" t="str">
        <f t="shared" si="3"/>
        <v/>
      </c>
      <c r="K18" s="4" t="str">
        <f t="shared" si="3"/>
        <v/>
      </c>
      <c r="L18" s="4" t="str">
        <f t="shared" si="3"/>
        <v/>
      </c>
      <c r="M18" s="4" t="str">
        <f t="shared" si="3"/>
        <v/>
      </c>
      <c r="N18" s="4" t="str">
        <f t="shared" si="3"/>
        <v/>
      </c>
      <c r="O18" s="4" t="e">
        <f t="shared" si="3"/>
        <v>#N/A</v>
      </c>
    </row>
    <row r="20" spans="2:15" ht="12.75" x14ac:dyDescent="0.2">
      <c r="B20" s="6" t="s">
        <v>34</v>
      </c>
      <c r="C20" s="10">
        <v>60000</v>
      </c>
      <c r="D20" s="10">
        <v>60000</v>
      </c>
      <c r="E20" s="10">
        <v>60000</v>
      </c>
      <c r="F20" s="10">
        <v>60000</v>
      </c>
      <c r="G20" s="10">
        <v>60000</v>
      </c>
      <c r="H20" s="10">
        <v>60000</v>
      </c>
      <c r="I20" s="10"/>
      <c r="J20" s="10"/>
      <c r="K20" s="10"/>
      <c r="L20" s="10"/>
      <c r="M20" s="10"/>
      <c r="N20" s="10"/>
      <c r="O20" s="10"/>
    </row>
    <row r="21" spans="2:15" ht="12.75" x14ac:dyDescent="0.2">
      <c r="B21" s="6" t="s">
        <v>43</v>
      </c>
      <c r="C21" s="9"/>
      <c r="D21" s="9"/>
      <c r="E21" s="9"/>
      <c r="F21" s="9"/>
      <c r="G21" s="9"/>
      <c r="H21" s="9"/>
      <c r="I21" s="9"/>
      <c r="J21" s="9"/>
      <c r="K21" s="9"/>
      <c r="L21" s="9"/>
      <c r="M21" s="9"/>
      <c r="N21" s="9"/>
      <c r="O21" s="9"/>
    </row>
    <row r="22" spans="2:15" ht="12.75" x14ac:dyDescent="0.2">
      <c r="B22" s="6" t="s">
        <v>35</v>
      </c>
      <c r="C22" s="9"/>
      <c r="D22" s="9"/>
      <c r="E22" s="9"/>
      <c r="F22" s="9"/>
      <c r="G22" s="9"/>
      <c r="H22" s="9"/>
      <c r="I22" s="9"/>
      <c r="J22" s="9"/>
      <c r="K22" s="9"/>
      <c r="L22" s="9"/>
      <c r="M22" s="9"/>
      <c r="N22" s="9"/>
      <c r="O22" s="9"/>
    </row>
    <row r="23" spans="2:15" ht="12.75" x14ac:dyDescent="0.2">
      <c r="B23" s="6" t="s">
        <v>99</v>
      </c>
      <c r="C23" s="46">
        <f>SUM(156*17/31)</f>
        <v>85.548387096774192</v>
      </c>
      <c r="D23" s="9">
        <v>156</v>
      </c>
      <c r="E23" s="9">
        <v>156</v>
      </c>
      <c r="F23" s="9">
        <v>156</v>
      </c>
      <c r="G23" s="9">
        <v>156</v>
      </c>
      <c r="H23" s="9">
        <f>SUM(156*18/30)</f>
        <v>93.6</v>
      </c>
      <c r="I23" s="9"/>
      <c r="J23" s="9"/>
      <c r="K23" s="9"/>
      <c r="L23" s="9"/>
      <c r="M23" s="9"/>
      <c r="N23" s="9"/>
      <c r="O23" s="9"/>
    </row>
    <row r="24" spans="2:15" ht="12.75" x14ac:dyDescent="0.2">
      <c r="B24" s="6" t="s">
        <v>36</v>
      </c>
      <c r="C24" s="13">
        <v>1</v>
      </c>
      <c r="D24" s="13">
        <v>1</v>
      </c>
      <c r="E24" s="13">
        <v>1</v>
      </c>
      <c r="F24" s="13">
        <v>1</v>
      </c>
      <c r="G24" s="13">
        <v>1</v>
      </c>
      <c r="H24" s="13">
        <v>1</v>
      </c>
      <c r="I24" s="13"/>
      <c r="J24" s="13"/>
      <c r="K24" s="13"/>
      <c r="L24" s="13"/>
      <c r="M24" s="13"/>
      <c r="N24" s="13"/>
      <c r="O24" s="13"/>
    </row>
    <row r="25" spans="2:15" ht="12.75" x14ac:dyDescent="0.2">
      <c r="B25" s="7"/>
    </row>
    <row r="26" spans="2:15" ht="12.75" x14ac:dyDescent="0.2">
      <c r="B26" s="3" t="s">
        <v>37</v>
      </c>
      <c r="C26" s="3">
        <f>ROUND(IF(AND(C14=C17,C15=C18),1,IF(C17="",0,(C18-C17+1)/(C15-C14+1))),4)</f>
        <v>0.5484</v>
      </c>
      <c r="D26" s="3">
        <f t="shared" ref="D26:O26" si="4">ROUND(IF(AND(D14=D17,D15=D18),1,IF(D17="",0,(D18-D17+1)/(D15-D14+1))),4)</f>
        <v>1</v>
      </c>
      <c r="E26" s="3">
        <f t="shared" si="4"/>
        <v>1</v>
      </c>
      <c r="F26" s="3">
        <f t="shared" si="4"/>
        <v>1</v>
      </c>
      <c r="G26" s="3">
        <f t="shared" si="4"/>
        <v>1</v>
      </c>
      <c r="H26" s="3">
        <f t="shared" si="4"/>
        <v>0.6</v>
      </c>
      <c r="I26" s="3">
        <f t="shared" si="4"/>
        <v>0</v>
      </c>
      <c r="J26" s="3">
        <f t="shared" si="4"/>
        <v>0</v>
      </c>
      <c r="K26" s="3">
        <f t="shared" si="4"/>
        <v>0</v>
      </c>
      <c r="L26" s="3">
        <f t="shared" si="4"/>
        <v>0</v>
      </c>
      <c r="M26" s="3">
        <f t="shared" si="4"/>
        <v>0</v>
      </c>
      <c r="N26" s="3">
        <f t="shared" si="4"/>
        <v>0</v>
      </c>
      <c r="O26" s="3" t="e">
        <f t="shared" si="4"/>
        <v>#N/A</v>
      </c>
    </row>
    <row r="27" spans="2:15" ht="12.75" x14ac:dyDescent="0.2">
      <c r="B27" s="3" t="s">
        <v>42</v>
      </c>
      <c r="C27" s="7">
        <f>MIN(IF(C24&lt;&gt;"",C24,IF(AND(C21&lt;&gt;"",C22&lt;&gt;""),C21/C22,0)),1)</f>
        <v>1</v>
      </c>
      <c r="D27" s="7">
        <f t="shared" ref="D27:O27" si="5">MIN(IF(D24&lt;&gt;"",D24,IF(AND(D21&lt;&gt;"",D22&lt;&gt;""),D21/D22,0)),1)</f>
        <v>1</v>
      </c>
      <c r="E27" s="7">
        <f t="shared" si="5"/>
        <v>1</v>
      </c>
      <c r="F27" s="7">
        <f t="shared" si="5"/>
        <v>1</v>
      </c>
      <c r="G27" s="7">
        <f t="shared" si="5"/>
        <v>1</v>
      </c>
      <c r="H27" s="7">
        <f t="shared" si="5"/>
        <v>1</v>
      </c>
      <c r="I27" s="7">
        <f t="shared" si="5"/>
        <v>0</v>
      </c>
      <c r="J27" s="7">
        <f t="shared" si="5"/>
        <v>0</v>
      </c>
      <c r="K27" s="7">
        <f t="shared" si="5"/>
        <v>0</v>
      </c>
      <c r="L27" s="7">
        <f t="shared" si="5"/>
        <v>0</v>
      </c>
      <c r="M27" s="7">
        <f t="shared" si="5"/>
        <v>0</v>
      </c>
      <c r="N27" s="7">
        <f t="shared" si="5"/>
        <v>0</v>
      </c>
      <c r="O27" s="7">
        <f t="shared" si="5"/>
        <v>0</v>
      </c>
    </row>
    <row r="29" spans="2:15" ht="12.75" x14ac:dyDescent="0.2">
      <c r="B29" s="3" t="s">
        <v>83</v>
      </c>
      <c r="C29" s="5">
        <f t="shared" ref="C29:N29" si="6">IF(C17="",0,C20)</f>
        <v>60000</v>
      </c>
      <c r="D29" s="5">
        <f t="shared" si="6"/>
        <v>60000</v>
      </c>
      <c r="E29" s="5">
        <f t="shared" si="6"/>
        <v>60000</v>
      </c>
      <c r="F29" s="5">
        <f t="shared" si="6"/>
        <v>60000</v>
      </c>
      <c r="G29" s="5">
        <f t="shared" si="6"/>
        <v>60000</v>
      </c>
      <c r="H29" s="5">
        <f t="shared" si="6"/>
        <v>60000</v>
      </c>
      <c r="I29" s="5">
        <f t="shared" si="6"/>
        <v>0</v>
      </c>
      <c r="J29" s="5">
        <f t="shared" si="6"/>
        <v>0</v>
      </c>
      <c r="K29" s="5">
        <f t="shared" si="6"/>
        <v>0</v>
      </c>
      <c r="L29" s="5">
        <f t="shared" si="6"/>
        <v>0</v>
      </c>
      <c r="M29" s="5">
        <f t="shared" si="6"/>
        <v>0</v>
      </c>
      <c r="N29" s="5">
        <f t="shared" si="6"/>
        <v>0</v>
      </c>
      <c r="O29" s="5" t="e">
        <f t="shared" ref="O29" si="7">IF(O17="",0,O20*PRTijdvakkenMax)</f>
        <v>#N/A</v>
      </c>
    </row>
    <row r="30" spans="2:15" ht="12.75" x14ac:dyDescent="0.2">
      <c r="B30" s="3" t="s">
        <v>84</v>
      </c>
      <c r="C30" s="5">
        <f t="shared" ref="C30:O30" si="8">MAX(MIN(C29,PRMaxLoon)-PRFranchise,0)</f>
        <v>46656</v>
      </c>
      <c r="D30" s="5">
        <f t="shared" si="8"/>
        <v>46656</v>
      </c>
      <c r="E30" s="5">
        <f t="shared" si="8"/>
        <v>46656</v>
      </c>
      <c r="F30" s="5">
        <f t="shared" si="8"/>
        <v>46656</v>
      </c>
      <c r="G30" s="5">
        <f t="shared" si="8"/>
        <v>46656</v>
      </c>
      <c r="H30" s="5">
        <f t="shared" si="8"/>
        <v>46656</v>
      </c>
      <c r="I30" s="5">
        <f t="shared" si="8"/>
        <v>0</v>
      </c>
      <c r="J30" s="5">
        <f t="shared" si="8"/>
        <v>0</v>
      </c>
      <c r="K30" s="5">
        <f t="shared" si="8"/>
        <v>0</v>
      </c>
      <c r="L30" s="5">
        <f t="shared" si="8"/>
        <v>0</v>
      </c>
      <c r="M30" s="5">
        <f t="shared" si="8"/>
        <v>0</v>
      </c>
      <c r="N30" s="5">
        <f t="shared" si="8"/>
        <v>0</v>
      </c>
      <c r="O30" s="5" t="e">
        <f t="shared" si="8"/>
        <v>#N/A</v>
      </c>
    </row>
    <row r="31" spans="2:15" ht="12.75" x14ac:dyDescent="0.2">
      <c r="B31" s="3" t="s">
        <v>85</v>
      </c>
      <c r="C31" s="5">
        <f t="shared" ref="C31:O31" si="9">C30*C27</f>
        <v>46656</v>
      </c>
      <c r="D31" s="5">
        <f t="shared" si="9"/>
        <v>46656</v>
      </c>
      <c r="E31" s="5">
        <f t="shared" si="9"/>
        <v>46656</v>
      </c>
      <c r="F31" s="5">
        <f t="shared" si="9"/>
        <v>46656</v>
      </c>
      <c r="G31" s="5">
        <f t="shared" si="9"/>
        <v>46656</v>
      </c>
      <c r="H31" s="5">
        <f t="shared" si="9"/>
        <v>46656</v>
      </c>
      <c r="I31" s="5">
        <f t="shared" si="9"/>
        <v>0</v>
      </c>
      <c r="J31" s="5">
        <f t="shared" si="9"/>
        <v>0</v>
      </c>
      <c r="K31" s="5">
        <f t="shared" si="9"/>
        <v>0</v>
      </c>
      <c r="L31" s="5">
        <f t="shared" si="9"/>
        <v>0</v>
      </c>
      <c r="M31" s="5">
        <f t="shared" si="9"/>
        <v>0</v>
      </c>
      <c r="N31" s="5">
        <f t="shared" si="9"/>
        <v>0</v>
      </c>
      <c r="O31" s="5" t="e">
        <f t="shared" si="9"/>
        <v>#N/A</v>
      </c>
    </row>
    <row r="32" spans="2:15" ht="12.75" x14ac:dyDescent="0.2">
      <c r="B32" s="3" t="s">
        <v>73</v>
      </c>
      <c r="C32" s="5">
        <f t="shared" ref="C32:O32" si="10">C31*PRPremiePercentage</f>
        <v>11197.439999999999</v>
      </c>
      <c r="D32" s="5">
        <f t="shared" si="10"/>
        <v>11197.439999999999</v>
      </c>
      <c r="E32" s="5">
        <f t="shared" si="10"/>
        <v>11197.439999999999</v>
      </c>
      <c r="F32" s="5">
        <f t="shared" si="10"/>
        <v>11197.439999999999</v>
      </c>
      <c r="G32" s="5">
        <f t="shared" si="10"/>
        <v>11197.439999999999</v>
      </c>
      <c r="H32" s="5">
        <f t="shared" si="10"/>
        <v>11197.439999999999</v>
      </c>
      <c r="I32" s="5">
        <f t="shared" si="10"/>
        <v>0</v>
      </c>
      <c r="J32" s="5">
        <f t="shared" si="10"/>
        <v>0</v>
      </c>
      <c r="K32" s="5">
        <f t="shared" si="10"/>
        <v>0</v>
      </c>
      <c r="L32" s="5">
        <f t="shared" si="10"/>
        <v>0</v>
      </c>
      <c r="M32" s="5">
        <f t="shared" si="10"/>
        <v>0</v>
      </c>
      <c r="N32" s="5">
        <f t="shared" si="10"/>
        <v>0</v>
      </c>
      <c r="O32" s="5" t="e">
        <f t="shared" si="10"/>
        <v>#N/A</v>
      </c>
    </row>
    <row r="33" spans="2:15" ht="12.75" x14ac:dyDescent="0.2">
      <c r="C33" s="5"/>
      <c r="D33" s="5"/>
      <c r="E33" s="5"/>
      <c r="F33" s="5"/>
      <c r="G33" s="5"/>
      <c r="H33" s="5"/>
      <c r="I33" s="5"/>
      <c r="J33" s="5"/>
      <c r="K33" s="5"/>
      <c r="L33" s="5"/>
      <c r="M33" s="5"/>
      <c r="N33" s="5"/>
      <c r="O33" s="5"/>
    </row>
    <row r="34" spans="2:15" ht="12.75" x14ac:dyDescent="0.2">
      <c r="B34" s="6" t="s">
        <v>80</v>
      </c>
      <c r="C34" s="5">
        <f t="shared" ref="C34:O34" si="11">ROUND(C31/PRTijdvakkenMax*C26,2)</f>
        <v>2132.1799999999998</v>
      </c>
      <c r="D34" s="5">
        <f t="shared" si="11"/>
        <v>3888</v>
      </c>
      <c r="E34" s="5">
        <f t="shared" si="11"/>
        <v>3888</v>
      </c>
      <c r="F34" s="5">
        <f t="shared" si="11"/>
        <v>3888</v>
      </c>
      <c r="G34" s="5">
        <f t="shared" si="11"/>
        <v>3888</v>
      </c>
      <c r="H34" s="5">
        <f t="shared" si="11"/>
        <v>2332.8000000000002</v>
      </c>
      <c r="I34" s="5">
        <f t="shared" si="11"/>
        <v>0</v>
      </c>
      <c r="J34" s="5">
        <f t="shared" si="11"/>
        <v>0</v>
      </c>
      <c r="K34" s="5">
        <f t="shared" si="11"/>
        <v>0</v>
      </c>
      <c r="L34" s="5">
        <f t="shared" si="11"/>
        <v>0</v>
      </c>
      <c r="M34" s="5">
        <f t="shared" si="11"/>
        <v>0</v>
      </c>
      <c r="N34" s="5">
        <f t="shared" si="11"/>
        <v>0</v>
      </c>
      <c r="O34" s="5" t="e">
        <f t="shared" si="11"/>
        <v>#N/A</v>
      </c>
    </row>
    <row r="35" spans="2:15" x14ac:dyDescent="0.3">
      <c r="B35" s="6" t="s">
        <v>44</v>
      </c>
      <c r="C35" s="5">
        <f>ROUND(C32/PRTijdvakkenMax*C26,2)</f>
        <v>511.72</v>
      </c>
      <c r="D35" s="5">
        <f t="shared" ref="D35:O35" si="12">ROUND(D32/PRTijdvakkenMax*D26,2)</f>
        <v>933.12</v>
      </c>
      <c r="E35" s="5">
        <f t="shared" si="12"/>
        <v>933.12</v>
      </c>
      <c r="F35" s="5">
        <f t="shared" si="12"/>
        <v>933.12</v>
      </c>
      <c r="G35" s="5">
        <f t="shared" si="12"/>
        <v>933.12</v>
      </c>
      <c r="H35" s="5">
        <f t="shared" si="12"/>
        <v>559.87</v>
      </c>
      <c r="I35" s="5">
        <f t="shared" si="12"/>
        <v>0</v>
      </c>
      <c r="J35" s="5">
        <f t="shared" si="12"/>
        <v>0</v>
      </c>
      <c r="K35" s="5">
        <f t="shared" si="12"/>
        <v>0</v>
      </c>
      <c r="L35" s="5">
        <f t="shared" si="12"/>
        <v>0</v>
      </c>
      <c r="M35" s="5">
        <f t="shared" si="12"/>
        <v>0</v>
      </c>
      <c r="N35" s="5">
        <f t="shared" si="12"/>
        <v>0</v>
      </c>
      <c r="O35" s="5" t="e">
        <f t="shared" si="12"/>
        <v>#N/A</v>
      </c>
    </row>
    <row r="36" spans="2:15" x14ac:dyDescent="0.3">
      <c r="B36" s="3" t="s">
        <v>45</v>
      </c>
      <c r="C36" s="5">
        <f>SUM($C35:C35)</f>
        <v>511.72</v>
      </c>
      <c r="D36" s="5">
        <f>SUM($C35:D35)</f>
        <v>1444.8400000000001</v>
      </c>
      <c r="E36" s="5">
        <f>SUM($C35:E35)</f>
        <v>2377.96</v>
      </c>
      <c r="F36" s="5">
        <f>SUM($C35:F35)</f>
        <v>3311.08</v>
      </c>
      <c r="G36" s="5">
        <f>SUM($C35:G35)</f>
        <v>4244.2</v>
      </c>
      <c r="H36" s="5">
        <f>SUM($C35:H35)</f>
        <v>4804.07</v>
      </c>
      <c r="I36" s="5">
        <f>SUM($C35:I35)</f>
        <v>4804.07</v>
      </c>
      <c r="J36" s="5">
        <f>SUM($C35:J35)</f>
        <v>4804.07</v>
      </c>
      <c r="K36" s="5">
        <f>SUM($C35:K35)</f>
        <v>4804.07</v>
      </c>
      <c r="L36" s="5">
        <f>SUM($C35:L35)</f>
        <v>4804.07</v>
      </c>
      <c r="M36" s="5">
        <f>SUM($C35:M35)</f>
        <v>4804.07</v>
      </c>
      <c r="N36" s="5">
        <f>SUM($C35:N35)</f>
        <v>4804.07</v>
      </c>
      <c r="O36" s="5" t="e">
        <f>SUM($C35:O35)</f>
        <v>#N/A</v>
      </c>
    </row>
    <row r="38" spans="2:15" x14ac:dyDescent="0.3">
      <c r="B38" s="3" t="s">
        <v>87</v>
      </c>
      <c r="C38" s="5">
        <f t="shared" ref="C38:N38" si="13">SUM(DLN_bijdrage*C34)</f>
        <v>106.60899999999999</v>
      </c>
      <c r="D38" s="5">
        <f t="shared" si="13"/>
        <v>194.4</v>
      </c>
      <c r="E38" s="5">
        <f t="shared" si="13"/>
        <v>194.4</v>
      </c>
      <c r="F38" s="5">
        <f t="shared" si="13"/>
        <v>194.4</v>
      </c>
      <c r="G38" s="5">
        <f t="shared" si="13"/>
        <v>194.4</v>
      </c>
      <c r="H38" s="5">
        <f t="shared" si="13"/>
        <v>116.64000000000001</v>
      </c>
      <c r="I38" s="5">
        <f t="shared" si="13"/>
        <v>0</v>
      </c>
      <c r="J38" s="5">
        <f t="shared" si="13"/>
        <v>0</v>
      </c>
      <c r="K38" s="5">
        <f t="shared" si="13"/>
        <v>0</v>
      </c>
      <c r="L38" s="5">
        <f t="shared" si="13"/>
        <v>0</v>
      </c>
      <c r="M38" s="5">
        <f t="shared" si="13"/>
        <v>0</v>
      </c>
      <c r="N38" s="5">
        <f t="shared" si="13"/>
        <v>0</v>
      </c>
    </row>
  </sheetData>
  <conditionalFormatting sqref="O1:O1048576">
    <cfRule type="expression" dxfId="3" priority="8">
      <formula>$I$10=12</formula>
    </cfRule>
  </conditionalFormatting>
  <dataValidations disablePrompts="1" count="1">
    <dataValidation type="list" allowBlank="1" showInputMessage="1" showErrorMessage="1" sqref="F10">
      <formula1>"Maandelijks,4-wekelijks"</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8"/>
  <sheetViews>
    <sheetView workbookViewId="0">
      <selection activeCell="F16" sqref="F16"/>
    </sheetView>
  </sheetViews>
  <sheetFormatPr defaultColWidth="9.109375" defaultRowHeight="13.8" x14ac:dyDescent="0.3"/>
  <cols>
    <col min="1" max="1" width="10" style="3" customWidth="1"/>
    <col min="2" max="2" width="39" style="3" bestFit="1" customWidth="1"/>
    <col min="3" max="15" width="12.5546875" style="3" customWidth="1"/>
    <col min="16" max="16384" width="9.109375" style="3"/>
  </cols>
  <sheetData>
    <row r="2" spans="1:15" ht="15.75" x14ac:dyDescent="0.25">
      <c r="A2" s="26" t="s">
        <v>91</v>
      </c>
      <c r="B2" s="26" t="s">
        <v>124</v>
      </c>
    </row>
    <row r="5" spans="1:15" ht="12.75" customHeight="1" x14ac:dyDescent="0.25">
      <c r="A5" s="17"/>
    </row>
    <row r="6" spans="1:15" ht="12.75" x14ac:dyDescent="0.2">
      <c r="B6" s="14" t="s">
        <v>38</v>
      </c>
      <c r="E6" s="14" t="s">
        <v>86</v>
      </c>
      <c r="K6" s="6"/>
      <c r="L6" s="8" t="s">
        <v>81</v>
      </c>
    </row>
    <row r="7" spans="1:15" ht="12.75" x14ac:dyDescent="0.2">
      <c r="B7" s="3" t="s">
        <v>39</v>
      </c>
      <c r="C7" s="10">
        <v>13344</v>
      </c>
      <c r="E7" s="3" t="s">
        <v>5</v>
      </c>
      <c r="F7" s="12">
        <v>43101</v>
      </c>
      <c r="K7" s="9"/>
      <c r="L7" s="8" t="s">
        <v>82</v>
      </c>
    </row>
    <row r="8" spans="1:15" ht="12.75" x14ac:dyDescent="0.2">
      <c r="B8" s="3" t="s">
        <v>40</v>
      </c>
      <c r="C8" s="10">
        <v>105075</v>
      </c>
      <c r="E8" s="3" t="s">
        <v>6</v>
      </c>
      <c r="F8" s="12"/>
      <c r="I8" s="4"/>
    </row>
    <row r="9" spans="1:15" ht="12.75" x14ac:dyDescent="0.2">
      <c r="B9" s="3" t="s">
        <v>41</v>
      </c>
      <c r="C9" s="11">
        <v>0.24</v>
      </c>
      <c r="I9" s="4"/>
    </row>
    <row r="10" spans="1:15" ht="12.75" x14ac:dyDescent="0.2">
      <c r="B10" s="3" t="s">
        <v>93</v>
      </c>
      <c r="C10" s="11">
        <v>0.05</v>
      </c>
      <c r="E10" s="3" t="s">
        <v>74</v>
      </c>
      <c r="F10" s="9" t="s">
        <v>46</v>
      </c>
      <c r="H10" s="3" t="s">
        <v>75</v>
      </c>
      <c r="I10" s="3">
        <v>12</v>
      </c>
    </row>
    <row r="11" spans="1:15" ht="12.75" x14ac:dyDescent="0.2">
      <c r="I11" s="4"/>
    </row>
    <row r="12" spans="1:15" ht="12.75" hidden="1" x14ac:dyDescent="0.2">
      <c r="C12" s="3">
        <v>1</v>
      </c>
      <c r="D12" s="3">
        <v>2</v>
      </c>
      <c r="E12" s="3">
        <v>3</v>
      </c>
      <c r="F12" s="3">
        <v>4</v>
      </c>
      <c r="G12" s="3">
        <v>5</v>
      </c>
      <c r="H12" s="3">
        <v>6</v>
      </c>
      <c r="I12" s="3">
        <v>7</v>
      </c>
      <c r="J12" s="3">
        <v>8</v>
      </c>
      <c r="K12" s="3">
        <v>9</v>
      </c>
      <c r="L12" s="3">
        <v>10</v>
      </c>
      <c r="M12" s="3">
        <v>11</v>
      </c>
      <c r="N12" s="3">
        <v>12</v>
      </c>
      <c r="O12" s="3">
        <v>13</v>
      </c>
    </row>
    <row r="13" spans="1:15" s="16" customFormat="1" ht="12.75" x14ac:dyDescent="0.2">
      <c r="B13" s="15" t="s">
        <v>0</v>
      </c>
      <c r="C13" s="15" t="str">
        <f>VLOOKUP($F$10&amp;C12,Tijdvakken!$A:$B,2,0)</f>
        <v>Januari</v>
      </c>
      <c r="D13" s="15" t="str">
        <f>VLOOKUP($F$10&amp;D12,Tijdvakken!$A:$B,2,0)</f>
        <v>Februari</v>
      </c>
      <c r="E13" s="15" t="str">
        <f>VLOOKUP($F$10&amp;E12,Tijdvakken!$A:$B,2,0)</f>
        <v>Maart</v>
      </c>
      <c r="F13" s="15" t="str">
        <f>VLOOKUP($F$10&amp;F12,Tijdvakken!$A:$B,2,0)</f>
        <v>April</v>
      </c>
      <c r="G13" s="15" t="str">
        <f>VLOOKUP($F$10&amp;G12,Tijdvakken!$A:$B,2,0)</f>
        <v>Mei</v>
      </c>
      <c r="H13" s="15" t="str">
        <f>VLOOKUP($F$10&amp;H12,Tijdvakken!$A:$B,2,0)</f>
        <v>Juni</v>
      </c>
      <c r="I13" s="15" t="str">
        <f>VLOOKUP($F$10&amp;I12,Tijdvakken!$A:$B,2,0)</f>
        <v>Juli</v>
      </c>
      <c r="J13" s="15" t="str">
        <f>VLOOKUP($F$10&amp;J12,Tijdvakken!$A:$B,2,0)</f>
        <v>Augustus</v>
      </c>
      <c r="K13" s="15" t="str">
        <f>VLOOKUP($F$10&amp;K12,Tijdvakken!$A:$B,2,0)</f>
        <v>September</v>
      </c>
      <c r="L13" s="15" t="str">
        <f>VLOOKUP($F$10&amp;L12,Tijdvakken!$A:$B,2,0)</f>
        <v>Oktober</v>
      </c>
      <c r="M13" s="15" t="str">
        <f>VLOOKUP($F$10&amp;M12,Tijdvakken!$A:$B,2,0)</f>
        <v>November</v>
      </c>
      <c r="N13" s="15" t="str">
        <f>VLOOKUP($F$10&amp;N12,Tijdvakken!$A:$B,2,0)</f>
        <v>December</v>
      </c>
      <c r="O13" s="15" t="e">
        <f>VLOOKUP($F$10&amp;O12,Tijdvakken!$A:$B,2,0)</f>
        <v>#N/A</v>
      </c>
    </row>
    <row r="14" spans="1:15" ht="12.75" x14ac:dyDescent="0.2">
      <c r="B14" s="6" t="s">
        <v>3</v>
      </c>
      <c r="C14" s="4">
        <f t="shared" ref="C14:O14" si="0">VLOOKUP(C13,TabelTijdvak,2,0)</f>
        <v>43101</v>
      </c>
      <c r="D14" s="4">
        <f t="shared" si="0"/>
        <v>43132</v>
      </c>
      <c r="E14" s="4">
        <f t="shared" si="0"/>
        <v>43160</v>
      </c>
      <c r="F14" s="4">
        <f t="shared" si="0"/>
        <v>43191</v>
      </c>
      <c r="G14" s="4">
        <f t="shared" si="0"/>
        <v>43221</v>
      </c>
      <c r="H14" s="4">
        <f t="shared" si="0"/>
        <v>43252</v>
      </c>
      <c r="I14" s="4">
        <f t="shared" si="0"/>
        <v>43282</v>
      </c>
      <c r="J14" s="4">
        <f t="shared" si="0"/>
        <v>43313</v>
      </c>
      <c r="K14" s="4">
        <f t="shared" si="0"/>
        <v>43344</v>
      </c>
      <c r="L14" s="4">
        <f t="shared" si="0"/>
        <v>43374</v>
      </c>
      <c r="M14" s="4">
        <f t="shared" si="0"/>
        <v>43405</v>
      </c>
      <c r="N14" s="4">
        <f t="shared" si="0"/>
        <v>43435</v>
      </c>
      <c r="O14" s="4" t="e">
        <f t="shared" si="0"/>
        <v>#N/A</v>
      </c>
    </row>
    <row r="15" spans="1:15" ht="12.75" x14ac:dyDescent="0.2">
      <c r="B15" s="6" t="s">
        <v>4</v>
      </c>
      <c r="C15" s="4">
        <f t="shared" ref="C15:O15" si="1">VLOOKUP(C13,TabelTijdvak,3,0)</f>
        <v>43131</v>
      </c>
      <c r="D15" s="4">
        <f t="shared" si="1"/>
        <v>43159</v>
      </c>
      <c r="E15" s="4">
        <f t="shared" si="1"/>
        <v>43190</v>
      </c>
      <c r="F15" s="4">
        <f t="shared" si="1"/>
        <v>43220</v>
      </c>
      <c r="G15" s="4">
        <f t="shared" si="1"/>
        <v>43251</v>
      </c>
      <c r="H15" s="4">
        <f t="shared" si="1"/>
        <v>43281</v>
      </c>
      <c r="I15" s="4">
        <f t="shared" si="1"/>
        <v>43312</v>
      </c>
      <c r="J15" s="4">
        <f t="shared" si="1"/>
        <v>43343</v>
      </c>
      <c r="K15" s="4">
        <f t="shared" si="1"/>
        <v>43373</v>
      </c>
      <c r="L15" s="4">
        <f t="shared" si="1"/>
        <v>43404</v>
      </c>
      <c r="M15" s="4">
        <f t="shared" si="1"/>
        <v>43434</v>
      </c>
      <c r="N15" s="4">
        <f t="shared" si="1"/>
        <v>43465</v>
      </c>
      <c r="O15" s="4" t="e">
        <f t="shared" si="1"/>
        <v>#N/A</v>
      </c>
    </row>
    <row r="16" spans="1:15" ht="12.75" x14ac:dyDescent="0.2">
      <c r="C16" s="4"/>
      <c r="D16" s="4"/>
      <c r="E16" s="4"/>
      <c r="F16" s="4"/>
      <c r="G16" s="4"/>
      <c r="H16" s="4"/>
      <c r="I16" s="4"/>
      <c r="J16" s="4"/>
      <c r="K16" s="4"/>
      <c r="L16" s="4"/>
      <c r="M16" s="4"/>
      <c r="N16" s="4"/>
      <c r="O16" s="4"/>
    </row>
    <row r="17" spans="2:15" ht="12.75" x14ac:dyDescent="0.2">
      <c r="B17" s="6" t="s">
        <v>32</v>
      </c>
      <c r="C17" s="4">
        <f t="shared" ref="C17:O17" si="2">IF(OR($F$7&gt;C15,AND($F$8&lt;C14,$F$8&lt;&gt;0)),"",MAX(C14,$F$7))</f>
        <v>43101</v>
      </c>
      <c r="D17" s="4">
        <f t="shared" si="2"/>
        <v>43132</v>
      </c>
      <c r="E17" s="4">
        <f t="shared" si="2"/>
        <v>43160</v>
      </c>
      <c r="F17" s="4">
        <f t="shared" si="2"/>
        <v>43191</v>
      </c>
      <c r="G17" s="4">
        <f t="shared" si="2"/>
        <v>43221</v>
      </c>
      <c r="H17" s="4">
        <f t="shared" si="2"/>
        <v>43252</v>
      </c>
      <c r="I17" s="4">
        <f t="shared" si="2"/>
        <v>43282</v>
      </c>
      <c r="J17" s="4">
        <f t="shared" si="2"/>
        <v>43313</v>
      </c>
      <c r="K17" s="4">
        <f t="shared" si="2"/>
        <v>43344</v>
      </c>
      <c r="L17" s="4">
        <f t="shared" si="2"/>
        <v>43374</v>
      </c>
      <c r="M17" s="4">
        <f t="shared" si="2"/>
        <v>43405</v>
      </c>
      <c r="N17" s="4">
        <f t="shared" si="2"/>
        <v>43435</v>
      </c>
      <c r="O17" s="4" t="e">
        <f t="shared" si="2"/>
        <v>#N/A</v>
      </c>
    </row>
    <row r="18" spans="2:15" ht="12.75" x14ac:dyDescent="0.2">
      <c r="B18" s="6" t="s">
        <v>33</v>
      </c>
      <c r="C18" s="4">
        <f t="shared" ref="C18:O18" si="3">IF(OR($F$7&gt;C15,AND($F$8&lt;C14,$F$8&lt;&gt;0)),"",MIN(C15,$F$8))</f>
        <v>43131</v>
      </c>
      <c r="D18" s="4">
        <f t="shared" si="3"/>
        <v>43159</v>
      </c>
      <c r="E18" s="4">
        <f t="shared" si="3"/>
        <v>43190</v>
      </c>
      <c r="F18" s="4">
        <f t="shared" si="3"/>
        <v>43220</v>
      </c>
      <c r="G18" s="4">
        <f t="shared" si="3"/>
        <v>43251</v>
      </c>
      <c r="H18" s="4">
        <f t="shared" si="3"/>
        <v>43281</v>
      </c>
      <c r="I18" s="4">
        <f t="shared" si="3"/>
        <v>43312</v>
      </c>
      <c r="J18" s="4">
        <f t="shared" si="3"/>
        <v>43343</v>
      </c>
      <c r="K18" s="4">
        <f t="shared" si="3"/>
        <v>43373</v>
      </c>
      <c r="L18" s="4">
        <f t="shared" si="3"/>
        <v>43404</v>
      </c>
      <c r="M18" s="4">
        <f t="shared" si="3"/>
        <v>43434</v>
      </c>
      <c r="N18" s="4">
        <f t="shared" si="3"/>
        <v>43465</v>
      </c>
      <c r="O18" s="4" t="e">
        <f t="shared" si="3"/>
        <v>#N/A</v>
      </c>
    </row>
    <row r="20" spans="2:15" ht="12.75" x14ac:dyDescent="0.2">
      <c r="B20" s="6" t="s">
        <v>34</v>
      </c>
      <c r="C20" s="10">
        <v>60000</v>
      </c>
      <c r="D20" s="10">
        <v>60000</v>
      </c>
      <c r="E20" s="10">
        <v>60000</v>
      </c>
      <c r="F20" s="10">
        <v>60000</v>
      </c>
      <c r="G20" s="10">
        <v>60000</v>
      </c>
      <c r="H20" s="10">
        <v>60000</v>
      </c>
      <c r="I20" s="10">
        <v>60000</v>
      </c>
      <c r="J20" s="10">
        <v>60000</v>
      </c>
      <c r="K20" s="10">
        <v>60000</v>
      </c>
      <c r="L20" s="10">
        <v>60000</v>
      </c>
      <c r="M20" s="10">
        <v>60000</v>
      </c>
      <c r="N20" s="10">
        <v>60000</v>
      </c>
      <c r="O20" s="10"/>
    </row>
    <row r="21" spans="2:15" ht="12.75" x14ac:dyDescent="0.2">
      <c r="B21" s="6" t="s">
        <v>43</v>
      </c>
      <c r="C21" s="9"/>
      <c r="D21" s="9"/>
      <c r="E21" s="9"/>
      <c r="F21" s="9"/>
      <c r="G21" s="9"/>
      <c r="H21" s="9"/>
      <c r="I21" s="9"/>
      <c r="J21" s="9"/>
      <c r="K21" s="9"/>
      <c r="L21" s="9"/>
      <c r="M21" s="9"/>
      <c r="N21" s="9"/>
      <c r="O21" s="9"/>
    </row>
    <row r="22" spans="2:15" ht="12.75" x14ac:dyDescent="0.2">
      <c r="B22" s="6" t="s">
        <v>35</v>
      </c>
      <c r="C22" s="9"/>
      <c r="D22" s="9"/>
      <c r="E22" s="9"/>
      <c r="F22" s="9"/>
      <c r="G22" s="9"/>
      <c r="H22" s="9"/>
      <c r="I22" s="9"/>
      <c r="J22" s="9"/>
      <c r="K22" s="9"/>
      <c r="L22" s="9"/>
      <c r="M22" s="9"/>
      <c r="N22" s="9"/>
      <c r="O22" s="9"/>
    </row>
    <row r="23" spans="2:15" ht="12.75" x14ac:dyDescent="0.2">
      <c r="B23" s="6" t="s">
        <v>99</v>
      </c>
      <c r="C23" s="9">
        <v>156</v>
      </c>
      <c r="D23" s="9">
        <v>156</v>
      </c>
      <c r="E23" s="9">
        <v>156</v>
      </c>
      <c r="F23" s="9">
        <v>156</v>
      </c>
      <c r="G23" s="9">
        <v>156</v>
      </c>
      <c r="H23" s="9">
        <v>156</v>
      </c>
      <c r="I23" s="9">
        <v>156</v>
      </c>
      <c r="J23" s="9">
        <v>156</v>
      </c>
      <c r="K23" s="9">
        <f>SUM(156*0.8)</f>
        <v>124.80000000000001</v>
      </c>
      <c r="L23" s="9">
        <f>SUM(156*0.8)</f>
        <v>124.80000000000001</v>
      </c>
      <c r="M23" s="9">
        <f>SUM(156*0.8)</f>
        <v>124.80000000000001</v>
      </c>
      <c r="N23" s="9">
        <f>SUM(156*0.8)</f>
        <v>124.80000000000001</v>
      </c>
      <c r="O23" s="9"/>
    </row>
    <row r="24" spans="2:15" ht="12.75" x14ac:dyDescent="0.2">
      <c r="B24" s="6" t="s">
        <v>36</v>
      </c>
      <c r="C24" s="13">
        <v>1</v>
      </c>
      <c r="D24" s="13">
        <v>1</v>
      </c>
      <c r="E24" s="13">
        <v>1</v>
      </c>
      <c r="F24" s="13">
        <v>1</v>
      </c>
      <c r="G24" s="13">
        <v>1</v>
      </c>
      <c r="H24" s="13">
        <v>1</v>
      </c>
      <c r="I24" s="13">
        <v>1</v>
      </c>
      <c r="J24" s="13">
        <v>1</v>
      </c>
      <c r="K24" s="13">
        <v>0.8</v>
      </c>
      <c r="L24" s="13">
        <v>0.8</v>
      </c>
      <c r="M24" s="13">
        <v>0.8</v>
      </c>
      <c r="N24" s="13">
        <v>0.8</v>
      </c>
      <c r="O24" s="13"/>
    </row>
    <row r="25" spans="2:15" ht="12.75" x14ac:dyDescent="0.2">
      <c r="B25" s="7"/>
    </row>
    <row r="26" spans="2:15" ht="12.75" x14ac:dyDescent="0.2">
      <c r="B26" s="3" t="s">
        <v>37</v>
      </c>
      <c r="C26" s="3">
        <f>ROUND(IF(AND(C14=C17,C15=C18),1,IF(C17="",0,(C18-C17+1)/(C15-C14+1))),4)</f>
        <v>1</v>
      </c>
      <c r="D26" s="3">
        <f t="shared" ref="D26:O26" si="4">ROUND(IF(AND(D14=D17,D15=D18),1,IF(D17="",0,(D18-D17+1)/(D15-D14+1))),4)</f>
        <v>1</v>
      </c>
      <c r="E26" s="3">
        <f t="shared" si="4"/>
        <v>1</v>
      </c>
      <c r="F26" s="3">
        <f t="shared" si="4"/>
        <v>1</v>
      </c>
      <c r="G26" s="3">
        <f t="shared" si="4"/>
        <v>1</v>
      </c>
      <c r="H26" s="3">
        <f t="shared" si="4"/>
        <v>1</v>
      </c>
      <c r="I26" s="3">
        <f t="shared" si="4"/>
        <v>1</v>
      </c>
      <c r="J26" s="3">
        <f t="shared" si="4"/>
        <v>1</v>
      </c>
      <c r="K26" s="3">
        <f t="shared" si="4"/>
        <v>1</v>
      </c>
      <c r="L26" s="3">
        <f t="shared" si="4"/>
        <v>1</v>
      </c>
      <c r="M26" s="3">
        <f t="shared" si="4"/>
        <v>1</v>
      </c>
      <c r="N26" s="3">
        <f t="shared" si="4"/>
        <v>1</v>
      </c>
      <c r="O26" s="3" t="e">
        <f t="shared" si="4"/>
        <v>#N/A</v>
      </c>
    </row>
    <row r="27" spans="2:15" ht="12.75" x14ac:dyDescent="0.2">
      <c r="B27" s="3" t="s">
        <v>42</v>
      </c>
      <c r="C27" s="7">
        <f>MIN(IF(C24&lt;&gt;"",C24,IF(AND(C21&lt;&gt;"",C22&lt;&gt;""),C21/C22,0)),1)</f>
        <v>1</v>
      </c>
      <c r="D27" s="7">
        <f t="shared" ref="D27:O27" si="5">MIN(IF(D24&lt;&gt;"",D24,IF(AND(D21&lt;&gt;"",D22&lt;&gt;""),D21/D22,0)),1)</f>
        <v>1</v>
      </c>
      <c r="E27" s="7">
        <f t="shared" si="5"/>
        <v>1</v>
      </c>
      <c r="F27" s="7">
        <f t="shared" si="5"/>
        <v>1</v>
      </c>
      <c r="G27" s="7">
        <f t="shared" si="5"/>
        <v>1</v>
      </c>
      <c r="H27" s="7">
        <f t="shared" si="5"/>
        <v>1</v>
      </c>
      <c r="I27" s="7">
        <f t="shared" si="5"/>
        <v>1</v>
      </c>
      <c r="J27" s="7">
        <f t="shared" si="5"/>
        <v>1</v>
      </c>
      <c r="K27" s="7">
        <f t="shared" si="5"/>
        <v>0.8</v>
      </c>
      <c r="L27" s="7">
        <f t="shared" si="5"/>
        <v>0.8</v>
      </c>
      <c r="M27" s="7">
        <f t="shared" si="5"/>
        <v>0.8</v>
      </c>
      <c r="N27" s="7">
        <f t="shared" si="5"/>
        <v>0.8</v>
      </c>
      <c r="O27" s="7">
        <f t="shared" si="5"/>
        <v>0</v>
      </c>
    </row>
    <row r="29" spans="2:15" x14ac:dyDescent="0.3">
      <c r="B29" s="3" t="s">
        <v>83</v>
      </c>
      <c r="C29" s="5">
        <f t="shared" ref="C29:N29" si="6">IF(C17="",0,C20)</f>
        <v>60000</v>
      </c>
      <c r="D29" s="5">
        <f t="shared" si="6"/>
        <v>60000</v>
      </c>
      <c r="E29" s="5">
        <f t="shared" si="6"/>
        <v>60000</v>
      </c>
      <c r="F29" s="5">
        <f t="shared" si="6"/>
        <v>60000</v>
      </c>
      <c r="G29" s="5">
        <f t="shared" si="6"/>
        <v>60000</v>
      </c>
      <c r="H29" s="5">
        <f t="shared" si="6"/>
        <v>60000</v>
      </c>
      <c r="I29" s="5">
        <f t="shared" si="6"/>
        <v>60000</v>
      </c>
      <c r="J29" s="5">
        <f t="shared" si="6"/>
        <v>60000</v>
      </c>
      <c r="K29" s="5">
        <f t="shared" si="6"/>
        <v>60000</v>
      </c>
      <c r="L29" s="5">
        <f t="shared" si="6"/>
        <v>60000</v>
      </c>
      <c r="M29" s="5">
        <f t="shared" si="6"/>
        <v>60000</v>
      </c>
      <c r="N29" s="5">
        <f t="shared" si="6"/>
        <v>60000</v>
      </c>
      <c r="O29" s="5" t="e">
        <f t="shared" ref="O29" si="7">IF(O17="",0,O20*PRTijdvakkenMax)</f>
        <v>#N/A</v>
      </c>
    </row>
    <row r="30" spans="2:15" x14ac:dyDescent="0.3">
      <c r="B30" s="3" t="s">
        <v>84</v>
      </c>
      <c r="C30" s="5">
        <f t="shared" ref="C30:O30" si="8">MAX(MIN(C29,PRMaxLoon)-PRFranchise,0)</f>
        <v>46656</v>
      </c>
      <c r="D30" s="5">
        <f t="shared" si="8"/>
        <v>46656</v>
      </c>
      <c r="E30" s="5">
        <f t="shared" si="8"/>
        <v>46656</v>
      </c>
      <c r="F30" s="5">
        <f t="shared" si="8"/>
        <v>46656</v>
      </c>
      <c r="G30" s="5">
        <f t="shared" si="8"/>
        <v>46656</v>
      </c>
      <c r="H30" s="5">
        <f t="shared" si="8"/>
        <v>46656</v>
      </c>
      <c r="I30" s="5">
        <f t="shared" si="8"/>
        <v>46656</v>
      </c>
      <c r="J30" s="5">
        <f t="shared" si="8"/>
        <v>46656</v>
      </c>
      <c r="K30" s="5">
        <f t="shared" si="8"/>
        <v>46656</v>
      </c>
      <c r="L30" s="5">
        <f t="shared" si="8"/>
        <v>46656</v>
      </c>
      <c r="M30" s="5">
        <f t="shared" si="8"/>
        <v>46656</v>
      </c>
      <c r="N30" s="5">
        <f t="shared" si="8"/>
        <v>46656</v>
      </c>
      <c r="O30" s="5" t="e">
        <f t="shared" si="8"/>
        <v>#N/A</v>
      </c>
    </row>
    <row r="31" spans="2:15" x14ac:dyDescent="0.3">
      <c r="B31" s="3" t="s">
        <v>85</v>
      </c>
      <c r="C31" s="5">
        <f t="shared" ref="C31:O31" si="9">C30*C27</f>
        <v>46656</v>
      </c>
      <c r="D31" s="5">
        <f t="shared" si="9"/>
        <v>46656</v>
      </c>
      <c r="E31" s="5">
        <f t="shared" si="9"/>
        <v>46656</v>
      </c>
      <c r="F31" s="5">
        <f t="shared" si="9"/>
        <v>46656</v>
      </c>
      <c r="G31" s="5">
        <f t="shared" si="9"/>
        <v>46656</v>
      </c>
      <c r="H31" s="5">
        <f t="shared" si="9"/>
        <v>46656</v>
      </c>
      <c r="I31" s="5">
        <f t="shared" si="9"/>
        <v>46656</v>
      </c>
      <c r="J31" s="5">
        <f t="shared" si="9"/>
        <v>46656</v>
      </c>
      <c r="K31" s="5">
        <f t="shared" si="9"/>
        <v>37324.800000000003</v>
      </c>
      <c r="L31" s="5">
        <f t="shared" si="9"/>
        <v>37324.800000000003</v>
      </c>
      <c r="M31" s="5">
        <f t="shared" si="9"/>
        <v>37324.800000000003</v>
      </c>
      <c r="N31" s="5">
        <f t="shared" si="9"/>
        <v>37324.800000000003</v>
      </c>
      <c r="O31" s="5" t="e">
        <f t="shared" si="9"/>
        <v>#N/A</v>
      </c>
    </row>
    <row r="32" spans="2:15" x14ac:dyDescent="0.3">
      <c r="B32" s="3" t="s">
        <v>73</v>
      </c>
      <c r="C32" s="5">
        <f t="shared" ref="C32:O32" si="10">C31*PRPremiePercentage</f>
        <v>11197.439999999999</v>
      </c>
      <c r="D32" s="5">
        <f t="shared" si="10"/>
        <v>11197.439999999999</v>
      </c>
      <c r="E32" s="5">
        <f t="shared" si="10"/>
        <v>11197.439999999999</v>
      </c>
      <c r="F32" s="5">
        <f t="shared" si="10"/>
        <v>11197.439999999999</v>
      </c>
      <c r="G32" s="5">
        <f t="shared" si="10"/>
        <v>11197.439999999999</v>
      </c>
      <c r="H32" s="5">
        <f t="shared" si="10"/>
        <v>11197.439999999999</v>
      </c>
      <c r="I32" s="5">
        <f t="shared" si="10"/>
        <v>11197.439999999999</v>
      </c>
      <c r="J32" s="5">
        <f t="shared" si="10"/>
        <v>11197.439999999999</v>
      </c>
      <c r="K32" s="5">
        <f t="shared" si="10"/>
        <v>8957.9520000000011</v>
      </c>
      <c r="L32" s="5">
        <f t="shared" si="10"/>
        <v>8957.9520000000011</v>
      </c>
      <c r="M32" s="5">
        <f t="shared" si="10"/>
        <v>8957.9520000000011</v>
      </c>
      <c r="N32" s="5">
        <f t="shared" si="10"/>
        <v>8957.9520000000011</v>
      </c>
      <c r="O32" s="5" t="e">
        <f t="shared" si="10"/>
        <v>#N/A</v>
      </c>
    </row>
    <row r="33" spans="2:15" x14ac:dyDescent="0.3">
      <c r="C33" s="5"/>
      <c r="D33" s="5"/>
      <c r="E33" s="5"/>
      <c r="F33" s="5"/>
      <c r="G33" s="5"/>
      <c r="H33" s="5"/>
      <c r="I33" s="5"/>
      <c r="J33" s="5"/>
      <c r="K33" s="5"/>
      <c r="L33" s="5"/>
      <c r="M33" s="5"/>
      <c r="N33" s="5"/>
      <c r="O33" s="5"/>
    </row>
    <row r="34" spans="2:15" x14ac:dyDescent="0.3">
      <c r="B34" s="6" t="s">
        <v>80</v>
      </c>
      <c r="C34" s="5">
        <f t="shared" ref="C34:O34" si="11">ROUND(C31/PRTijdvakkenMax*C26,2)</f>
        <v>3888</v>
      </c>
      <c r="D34" s="5">
        <f t="shared" si="11"/>
        <v>3888</v>
      </c>
      <c r="E34" s="5">
        <f t="shared" si="11"/>
        <v>3888</v>
      </c>
      <c r="F34" s="5">
        <f t="shared" si="11"/>
        <v>3888</v>
      </c>
      <c r="G34" s="5">
        <f t="shared" si="11"/>
        <v>3888</v>
      </c>
      <c r="H34" s="5">
        <f t="shared" si="11"/>
        <v>3888</v>
      </c>
      <c r="I34" s="5">
        <f t="shared" si="11"/>
        <v>3888</v>
      </c>
      <c r="J34" s="5">
        <f t="shared" si="11"/>
        <v>3888</v>
      </c>
      <c r="K34" s="5">
        <f t="shared" si="11"/>
        <v>3110.4</v>
      </c>
      <c r="L34" s="5">
        <f t="shared" si="11"/>
        <v>3110.4</v>
      </c>
      <c r="M34" s="5">
        <f t="shared" si="11"/>
        <v>3110.4</v>
      </c>
      <c r="N34" s="5">
        <f t="shared" si="11"/>
        <v>3110.4</v>
      </c>
      <c r="O34" s="5" t="e">
        <f t="shared" si="11"/>
        <v>#N/A</v>
      </c>
    </row>
    <row r="35" spans="2:15" x14ac:dyDescent="0.3">
      <c r="B35" s="6" t="s">
        <v>44</v>
      </c>
      <c r="C35" s="5">
        <f>ROUND(C32/PRTijdvakkenMax*C26,2)</f>
        <v>933.12</v>
      </c>
      <c r="D35" s="5">
        <f t="shared" ref="D35:O35" si="12">ROUND(D32/PRTijdvakkenMax*D26,2)</f>
        <v>933.12</v>
      </c>
      <c r="E35" s="5">
        <f t="shared" si="12"/>
        <v>933.12</v>
      </c>
      <c r="F35" s="5">
        <f t="shared" si="12"/>
        <v>933.12</v>
      </c>
      <c r="G35" s="5">
        <f t="shared" si="12"/>
        <v>933.12</v>
      </c>
      <c r="H35" s="5">
        <f t="shared" si="12"/>
        <v>933.12</v>
      </c>
      <c r="I35" s="5">
        <f t="shared" si="12"/>
        <v>933.12</v>
      </c>
      <c r="J35" s="5">
        <f t="shared" si="12"/>
        <v>933.12</v>
      </c>
      <c r="K35" s="5">
        <f t="shared" si="12"/>
        <v>746.5</v>
      </c>
      <c r="L35" s="5">
        <f t="shared" si="12"/>
        <v>746.5</v>
      </c>
      <c r="M35" s="5">
        <f t="shared" si="12"/>
        <v>746.5</v>
      </c>
      <c r="N35" s="5">
        <f t="shared" si="12"/>
        <v>746.5</v>
      </c>
      <c r="O35" s="5" t="e">
        <f t="shared" si="12"/>
        <v>#N/A</v>
      </c>
    </row>
    <row r="36" spans="2:15" x14ac:dyDescent="0.3">
      <c r="B36" s="3" t="s">
        <v>45</v>
      </c>
      <c r="C36" s="5">
        <f>SUM($C35:C35)</f>
        <v>933.12</v>
      </c>
      <c r="D36" s="5">
        <f>SUM($C35:D35)</f>
        <v>1866.24</v>
      </c>
      <c r="E36" s="5">
        <f>SUM($C35:E35)</f>
        <v>2799.36</v>
      </c>
      <c r="F36" s="5">
        <f>SUM($C35:F35)</f>
        <v>3732.48</v>
      </c>
      <c r="G36" s="5">
        <f>SUM($C35:G35)</f>
        <v>4665.6000000000004</v>
      </c>
      <c r="H36" s="5">
        <f>SUM($C35:H35)</f>
        <v>5598.72</v>
      </c>
      <c r="I36" s="5">
        <f>SUM($C35:I35)</f>
        <v>6531.84</v>
      </c>
      <c r="J36" s="5">
        <f>SUM($C35:J35)</f>
        <v>7464.96</v>
      </c>
      <c r="K36" s="5">
        <f>SUM($C35:K35)</f>
        <v>8211.4599999999991</v>
      </c>
      <c r="L36" s="5">
        <f>SUM($C35:L35)</f>
        <v>8957.9599999999991</v>
      </c>
      <c r="M36" s="5">
        <f>SUM($C35:M35)</f>
        <v>9704.4599999999991</v>
      </c>
      <c r="N36" s="5">
        <f>SUM($C35:N35)</f>
        <v>10450.959999999999</v>
      </c>
      <c r="O36" s="5" t="e">
        <f>SUM($C35:O35)</f>
        <v>#N/A</v>
      </c>
    </row>
    <row r="38" spans="2:15" x14ac:dyDescent="0.3">
      <c r="B38" s="3" t="s">
        <v>87</v>
      </c>
      <c r="C38" s="5">
        <f t="shared" ref="C38:N38" si="13">SUM(DLN_bijdrage*C34)</f>
        <v>194.4</v>
      </c>
      <c r="D38" s="5">
        <f t="shared" si="13"/>
        <v>194.4</v>
      </c>
      <c r="E38" s="5">
        <f t="shared" si="13"/>
        <v>194.4</v>
      </c>
      <c r="F38" s="5">
        <f t="shared" si="13"/>
        <v>194.4</v>
      </c>
      <c r="G38" s="5">
        <f t="shared" si="13"/>
        <v>194.4</v>
      </c>
      <c r="H38" s="5">
        <f t="shared" si="13"/>
        <v>194.4</v>
      </c>
      <c r="I38" s="5">
        <f t="shared" si="13"/>
        <v>194.4</v>
      </c>
      <c r="J38" s="5">
        <f t="shared" si="13"/>
        <v>194.4</v>
      </c>
      <c r="K38" s="5">
        <f t="shared" si="13"/>
        <v>155.52000000000001</v>
      </c>
      <c r="L38" s="5">
        <f t="shared" si="13"/>
        <v>155.52000000000001</v>
      </c>
      <c r="M38" s="5">
        <f t="shared" si="13"/>
        <v>155.52000000000001</v>
      </c>
      <c r="N38" s="5">
        <f t="shared" si="13"/>
        <v>155.52000000000001</v>
      </c>
    </row>
  </sheetData>
  <conditionalFormatting sqref="O1:O1048576">
    <cfRule type="expression" dxfId="2" priority="1">
      <formula>$I$10=12</formula>
    </cfRule>
  </conditionalFormatting>
  <dataValidations count="1">
    <dataValidation type="list" allowBlank="1" showInputMessage="1" showErrorMessage="1" sqref="F10">
      <formula1>"Maandelijks,4-wekelijks"</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8"/>
  <sheetViews>
    <sheetView topLeftCell="A5" workbookViewId="0">
      <selection activeCell="N39" sqref="N39"/>
    </sheetView>
  </sheetViews>
  <sheetFormatPr defaultColWidth="9.109375" defaultRowHeight="13.8" x14ac:dyDescent="0.3"/>
  <cols>
    <col min="1" max="1" width="10" style="3" customWidth="1"/>
    <col min="2" max="2" width="39" style="3" bestFit="1" customWidth="1"/>
    <col min="3" max="15" width="12.5546875" style="3" customWidth="1"/>
    <col min="16" max="16384" width="9.109375" style="3"/>
  </cols>
  <sheetData>
    <row r="2" spans="1:15" ht="15.75" x14ac:dyDescent="0.25">
      <c r="A2" s="26" t="s">
        <v>91</v>
      </c>
      <c r="B2" s="26" t="s">
        <v>94</v>
      </c>
    </row>
    <row r="5" spans="1:15" ht="12.75" customHeight="1" x14ac:dyDescent="0.25">
      <c r="A5" s="17"/>
    </row>
    <row r="6" spans="1:15" ht="12.75" x14ac:dyDescent="0.2">
      <c r="B6" s="14" t="s">
        <v>38</v>
      </c>
      <c r="E6" s="14" t="s">
        <v>86</v>
      </c>
      <c r="K6" s="6"/>
      <c r="L6" s="8" t="s">
        <v>81</v>
      </c>
    </row>
    <row r="7" spans="1:15" ht="12.75" x14ac:dyDescent="0.2">
      <c r="B7" s="3" t="s">
        <v>39</v>
      </c>
      <c r="C7" s="10">
        <v>13344</v>
      </c>
      <c r="E7" s="3" t="s">
        <v>5</v>
      </c>
      <c r="F7" s="12">
        <v>43101</v>
      </c>
      <c r="K7" s="9"/>
      <c r="L7" s="8" t="s">
        <v>82</v>
      </c>
    </row>
    <row r="8" spans="1:15" ht="12.75" x14ac:dyDescent="0.2">
      <c r="B8" s="3" t="s">
        <v>40</v>
      </c>
      <c r="C8" s="10">
        <v>105075</v>
      </c>
      <c r="E8" s="3" t="s">
        <v>6</v>
      </c>
      <c r="F8" s="12"/>
      <c r="I8" s="4"/>
    </row>
    <row r="9" spans="1:15" ht="12.75" x14ac:dyDescent="0.2">
      <c r="B9" s="3" t="s">
        <v>41</v>
      </c>
      <c r="C9" s="11">
        <v>0.24</v>
      </c>
      <c r="I9" s="4"/>
    </row>
    <row r="10" spans="1:15" ht="12.75" x14ac:dyDescent="0.2">
      <c r="B10" s="3" t="s">
        <v>93</v>
      </c>
      <c r="C10" s="11">
        <v>0.05</v>
      </c>
      <c r="E10" s="3" t="s">
        <v>74</v>
      </c>
      <c r="F10" s="9" t="s">
        <v>46</v>
      </c>
      <c r="H10" s="3" t="s">
        <v>75</v>
      </c>
      <c r="I10" s="3">
        <v>12</v>
      </c>
    </row>
    <row r="11" spans="1:15" ht="12.75" x14ac:dyDescent="0.2">
      <c r="I11" s="4"/>
    </row>
    <row r="12" spans="1:15" ht="12.75" hidden="1" x14ac:dyDescent="0.2">
      <c r="C12" s="3">
        <v>1</v>
      </c>
      <c r="D12" s="3">
        <v>2</v>
      </c>
      <c r="E12" s="3">
        <v>3</v>
      </c>
      <c r="F12" s="3">
        <v>4</v>
      </c>
      <c r="G12" s="3">
        <v>5</v>
      </c>
      <c r="H12" s="3">
        <v>6</v>
      </c>
      <c r="I12" s="3">
        <v>7</v>
      </c>
      <c r="J12" s="3">
        <v>8</v>
      </c>
      <c r="K12" s="3">
        <v>9</v>
      </c>
      <c r="L12" s="3">
        <v>10</v>
      </c>
      <c r="M12" s="3">
        <v>11</v>
      </c>
      <c r="N12" s="3">
        <v>12</v>
      </c>
      <c r="O12" s="3">
        <v>13</v>
      </c>
    </row>
    <row r="13" spans="1:15" s="16" customFormat="1" ht="12.75" x14ac:dyDescent="0.2">
      <c r="B13" s="15" t="s">
        <v>0</v>
      </c>
      <c r="C13" s="15" t="str">
        <f>VLOOKUP($F$10&amp;C12,Tijdvakken!$A:$B,2,0)</f>
        <v>Januari</v>
      </c>
      <c r="D13" s="15" t="str">
        <f>VLOOKUP($F$10&amp;D12,Tijdvakken!$A:$B,2,0)</f>
        <v>Februari</v>
      </c>
      <c r="E13" s="15" t="str">
        <f>VLOOKUP($F$10&amp;E12,Tijdvakken!$A:$B,2,0)</f>
        <v>Maart</v>
      </c>
      <c r="F13" s="15" t="str">
        <f>VLOOKUP($F$10&amp;F12,Tijdvakken!$A:$B,2,0)</f>
        <v>April</v>
      </c>
      <c r="G13" s="15" t="str">
        <f>VLOOKUP($F$10&amp;G12,Tijdvakken!$A:$B,2,0)</f>
        <v>Mei</v>
      </c>
      <c r="H13" s="15" t="str">
        <f>VLOOKUP($F$10&amp;H12,Tijdvakken!$A:$B,2,0)</f>
        <v>Juni</v>
      </c>
      <c r="I13" s="15" t="str">
        <f>VLOOKUP($F$10&amp;I12,Tijdvakken!$A:$B,2,0)</f>
        <v>Juli</v>
      </c>
      <c r="J13" s="15" t="str">
        <f>VLOOKUP($F$10&amp;J12,Tijdvakken!$A:$B,2,0)</f>
        <v>Augustus</v>
      </c>
      <c r="K13" s="15" t="str">
        <f>VLOOKUP($F$10&amp;K12,Tijdvakken!$A:$B,2,0)</f>
        <v>September</v>
      </c>
      <c r="L13" s="15" t="str">
        <f>VLOOKUP($F$10&amp;L12,Tijdvakken!$A:$B,2,0)</f>
        <v>Oktober</v>
      </c>
      <c r="M13" s="15" t="str">
        <f>VLOOKUP($F$10&amp;M12,Tijdvakken!$A:$B,2,0)</f>
        <v>November</v>
      </c>
      <c r="N13" s="15" t="str">
        <f>VLOOKUP($F$10&amp;N12,Tijdvakken!$A:$B,2,0)</f>
        <v>December</v>
      </c>
      <c r="O13" s="15" t="e">
        <f>VLOOKUP($F$10&amp;O12,Tijdvakken!$A:$B,2,0)</f>
        <v>#N/A</v>
      </c>
    </row>
    <row r="14" spans="1:15" ht="12.75" x14ac:dyDescent="0.2">
      <c r="B14" s="6" t="s">
        <v>3</v>
      </c>
      <c r="C14" s="4">
        <f t="shared" ref="C14:O14" si="0">VLOOKUP(C13,TabelTijdvak,2,0)</f>
        <v>43101</v>
      </c>
      <c r="D14" s="4">
        <f t="shared" si="0"/>
        <v>43132</v>
      </c>
      <c r="E14" s="4">
        <f t="shared" si="0"/>
        <v>43160</v>
      </c>
      <c r="F14" s="4">
        <f t="shared" si="0"/>
        <v>43191</v>
      </c>
      <c r="G14" s="4">
        <f t="shared" si="0"/>
        <v>43221</v>
      </c>
      <c r="H14" s="4">
        <f t="shared" si="0"/>
        <v>43252</v>
      </c>
      <c r="I14" s="4">
        <f t="shared" si="0"/>
        <v>43282</v>
      </c>
      <c r="J14" s="4">
        <f t="shared" si="0"/>
        <v>43313</v>
      </c>
      <c r="K14" s="4">
        <f t="shared" si="0"/>
        <v>43344</v>
      </c>
      <c r="L14" s="4">
        <f t="shared" si="0"/>
        <v>43374</v>
      </c>
      <c r="M14" s="4">
        <f t="shared" si="0"/>
        <v>43405</v>
      </c>
      <c r="N14" s="4">
        <f t="shared" si="0"/>
        <v>43435</v>
      </c>
      <c r="O14" s="4" t="e">
        <f t="shared" si="0"/>
        <v>#N/A</v>
      </c>
    </row>
    <row r="15" spans="1:15" ht="12.75" x14ac:dyDescent="0.2">
      <c r="B15" s="6" t="s">
        <v>4</v>
      </c>
      <c r="C15" s="4">
        <f t="shared" ref="C15:O15" si="1">VLOOKUP(C13,TabelTijdvak,3,0)</f>
        <v>43131</v>
      </c>
      <c r="D15" s="4">
        <f t="shared" si="1"/>
        <v>43159</v>
      </c>
      <c r="E15" s="4">
        <f t="shared" si="1"/>
        <v>43190</v>
      </c>
      <c r="F15" s="4">
        <f t="shared" si="1"/>
        <v>43220</v>
      </c>
      <c r="G15" s="4">
        <f t="shared" si="1"/>
        <v>43251</v>
      </c>
      <c r="H15" s="4">
        <f t="shared" si="1"/>
        <v>43281</v>
      </c>
      <c r="I15" s="4">
        <f t="shared" si="1"/>
        <v>43312</v>
      </c>
      <c r="J15" s="4">
        <f t="shared" si="1"/>
        <v>43343</v>
      </c>
      <c r="K15" s="4">
        <f t="shared" si="1"/>
        <v>43373</v>
      </c>
      <c r="L15" s="4">
        <f t="shared" si="1"/>
        <v>43404</v>
      </c>
      <c r="M15" s="4">
        <f t="shared" si="1"/>
        <v>43434</v>
      </c>
      <c r="N15" s="4">
        <f t="shared" si="1"/>
        <v>43465</v>
      </c>
      <c r="O15" s="4" t="e">
        <f t="shared" si="1"/>
        <v>#N/A</v>
      </c>
    </row>
    <row r="16" spans="1:15" ht="12.75" x14ac:dyDescent="0.2">
      <c r="C16" s="4"/>
      <c r="D16" s="4"/>
      <c r="E16" s="4"/>
      <c r="F16" s="4"/>
      <c r="G16" s="4"/>
      <c r="H16" s="4"/>
      <c r="I16" s="4"/>
      <c r="J16" s="4"/>
      <c r="K16" s="4"/>
      <c r="L16" s="4"/>
      <c r="M16" s="4"/>
      <c r="N16" s="4"/>
      <c r="O16" s="4"/>
    </row>
    <row r="17" spans="2:15" ht="12.75" x14ac:dyDescent="0.2">
      <c r="B17" s="6" t="s">
        <v>32</v>
      </c>
      <c r="C17" s="4">
        <f t="shared" ref="C17:O17" si="2">IF(OR($F$7&gt;C15,AND($F$8&lt;C14,$F$8&lt;&gt;0)),"",MAX(C14,$F$7))</f>
        <v>43101</v>
      </c>
      <c r="D17" s="4">
        <f t="shared" si="2"/>
        <v>43132</v>
      </c>
      <c r="E17" s="4">
        <f t="shared" si="2"/>
        <v>43160</v>
      </c>
      <c r="F17" s="4">
        <f t="shared" si="2"/>
        <v>43191</v>
      </c>
      <c r="G17" s="4">
        <f t="shared" si="2"/>
        <v>43221</v>
      </c>
      <c r="H17" s="4">
        <f t="shared" si="2"/>
        <v>43252</v>
      </c>
      <c r="I17" s="4">
        <f t="shared" si="2"/>
        <v>43282</v>
      </c>
      <c r="J17" s="4">
        <f t="shared" si="2"/>
        <v>43313</v>
      </c>
      <c r="K17" s="4">
        <f t="shared" si="2"/>
        <v>43344</v>
      </c>
      <c r="L17" s="4">
        <f t="shared" si="2"/>
        <v>43374</v>
      </c>
      <c r="M17" s="4">
        <f t="shared" si="2"/>
        <v>43405</v>
      </c>
      <c r="N17" s="4">
        <f t="shared" si="2"/>
        <v>43435</v>
      </c>
      <c r="O17" s="4" t="e">
        <f t="shared" si="2"/>
        <v>#N/A</v>
      </c>
    </row>
    <row r="18" spans="2:15" ht="12.75" x14ac:dyDescent="0.2">
      <c r="B18" s="6" t="s">
        <v>33</v>
      </c>
      <c r="C18" s="4">
        <f t="shared" ref="C18:O18" si="3">IF(OR($F$7&gt;C15,AND($F$8&lt;C14,$F$8&lt;&gt;0)),"",MIN(C15,$F$8))</f>
        <v>43131</v>
      </c>
      <c r="D18" s="4">
        <f t="shared" si="3"/>
        <v>43159</v>
      </c>
      <c r="E18" s="4">
        <f t="shared" si="3"/>
        <v>43190</v>
      </c>
      <c r="F18" s="4">
        <f t="shared" si="3"/>
        <v>43220</v>
      </c>
      <c r="G18" s="4">
        <f t="shared" si="3"/>
        <v>43251</v>
      </c>
      <c r="H18" s="4">
        <f t="shared" si="3"/>
        <v>43281</v>
      </c>
      <c r="I18" s="4">
        <f t="shared" si="3"/>
        <v>43312</v>
      </c>
      <c r="J18" s="4">
        <f t="shared" si="3"/>
        <v>43343</v>
      </c>
      <c r="K18" s="4">
        <f t="shared" si="3"/>
        <v>43373</v>
      </c>
      <c r="L18" s="4">
        <f t="shared" si="3"/>
        <v>43404</v>
      </c>
      <c r="M18" s="4">
        <f t="shared" si="3"/>
        <v>43434</v>
      </c>
      <c r="N18" s="4">
        <f t="shared" si="3"/>
        <v>43465</v>
      </c>
      <c r="O18" s="4" t="e">
        <f t="shared" si="3"/>
        <v>#N/A</v>
      </c>
    </row>
    <row r="20" spans="2:15" ht="12.75" x14ac:dyDescent="0.2">
      <c r="B20" s="6" t="s">
        <v>34</v>
      </c>
      <c r="C20" s="10">
        <v>120000</v>
      </c>
      <c r="D20" s="10">
        <v>120000</v>
      </c>
      <c r="E20" s="10">
        <v>120000</v>
      </c>
      <c r="F20" s="10">
        <v>120000</v>
      </c>
      <c r="G20" s="10">
        <v>120000</v>
      </c>
      <c r="H20" s="10">
        <v>120000</v>
      </c>
      <c r="I20" s="10">
        <v>120000</v>
      </c>
      <c r="J20" s="10">
        <v>120000</v>
      </c>
      <c r="K20" s="10">
        <v>120000</v>
      </c>
      <c r="L20" s="10">
        <v>120000</v>
      </c>
      <c r="M20" s="10">
        <v>120000</v>
      </c>
      <c r="N20" s="10">
        <v>120000</v>
      </c>
      <c r="O20" s="10"/>
    </row>
    <row r="21" spans="2:15" ht="12.75" x14ac:dyDescent="0.2">
      <c r="B21" s="6" t="s">
        <v>43</v>
      </c>
      <c r="C21" s="9"/>
      <c r="D21" s="9"/>
      <c r="E21" s="9"/>
      <c r="F21" s="9"/>
      <c r="G21" s="9"/>
      <c r="H21" s="9"/>
      <c r="I21" s="9"/>
      <c r="J21" s="9"/>
      <c r="K21" s="9"/>
      <c r="L21" s="9"/>
      <c r="M21" s="9"/>
      <c r="N21" s="9"/>
      <c r="O21" s="9"/>
    </row>
    <row r="22" spans="2:15" ht="12.75" x14ac:dyDescent="0.2">
      <c r="B22" s="6" t="s">
        <v>35</v>
      </c>
      <c r="C22" s="9"/>
      <c r="D22" s="9"/>
      <c r="E22" s="9"/>
      <c r="F22" s="9"/>
      <c r="G22" s="9"/>
      <c r="H22" s="9"/>
      <c r="I22" s="9"/>
      <c r="J22" s="9"/>
      <c r="K22" s="9"/>
      <c r="L22" s="9"/>
      <c r="M22" s="9"/>
      <c r="N22" s="9"/>
      <c r="O22" s="9"/>
    </row>
    <row r="23" spans="2:15" ht="12.75" x14ac:dyDescent="0.2">
      <c r="B23" s="6" t="s">
        <v>99</v>
      </c>
      <c r="C23" s="9">
        <v>156</v>
      </c>
      <c r="D23" s="9">
        <v>156</v>
      </c>
      <c r="E23" s="9">
        <v>156</v>
      </c>
      <c r="F23" s="9">
        <v>156</v>
      </c>
      <c r="G23" s="9">
        <v>156</v>
      </c>
      <c r="H23" s="9">
        <v>156</v>
      </c>
      <c r="I23" s="9">
        <v>156</v>
      </c>
      <c r="J23" s="9">
        <v>156</v>
      </c>
      <c r="K23" s="9">
        <v>156</v>
      </c>
      <c r="L23" s="9">
        <v>156</v>
      </c>
      <c r="M23" s="9">
        <v>156</v>
      </c>
      <c r="N23" s="9">
        <v>156</v>
      </c>
      <c r="O23" s="9"/>
    </row>
    <row r="24" spans="2:15" ht="12.75" x14ac:dyDescent="0.2">
      <c r="B24" s="6" t="s">
        <v>36</v>
      </c>
      <c r="C24" s="13">
        <v>1</v>
      </c>
      <c r="D24" s="13">
        <v>1</v>
      </c>
      <c r="E24" s="13">
        <v>1</v>
      </c>
      <c r="F24" s="13">
        <v>1</v>
      </c>
      <c r="G24" s="13">
        <v>1</v>
      </c>
      <c r="H24" s="13">
        <v>1</v>
      </c>
      <c r="I24" s="13">
        <v>1</v>
      </c>
      <c r="J24" s="13">
        <v>1</v>
      </c>
      <c r="K24" s="13">
        <v>1</v>
      </c>
      <c r="L24" s="13">
        <v>1</v>
      </c>
      <c r="M24" s="13">
        <v>1</v>
      </c>
      <c r="N24" s="13">
        <v>1</v>
      </c>
      <c r="O24" s="13"/>
    </row>
    <row r="25" spans="2:15" ht="12.75" x14ac:dyDescent="0.2">
      <c r="B25" s="7"/>
    </row>
    <row r="26" spans="2:15" ht="12.75" x14ac:dyDescent="0.2">
      <c r="B26" s="3" t="s">
        <v>37</v>
      </c>
      <c r="C26" s="3">
        <f>ROUND(IF(AND(C14=C17,C15=C18),1,IF(C17="",0,(C18-C17+1)/(C15-C14+1))),4)</f>
        <v>1</v>
      </c>
      <c r="D26" s="3">
        <f t="shared" ref="D26:O26" si="4">ROUND(IF(AND(D14=D17,D15=D18),1,IF(D17="",0,(D18-D17+1)/(D15-D14+1))),4)</f>
        <v>1</v>
      </c>
      <c r="E26" s="3">
        <f t="shared" si="4"/>
        <v>1</v>
      </c>
      <c r="F26" s="3">
        <f t="shared" si="4"/>
        <v>1</v>
      </c>
      <c r="G26" s="3">
        <f t="shared" si="4"/>
        <v>1</v>
      </c>
      <c r="H26" s="3">
        <f t="shared" si="4"/>
        <v>1</v>
      </c>
      <c r="I26" s="3">
        <f t="shared" si="4"/>
        <v>1</v>
      </c>
      <c r="J26" s="3">
        <f t="shared" si="4"/>
        <v>1</v>
      </c>
      <c r="K26" s="3">
        <f t="shared" si="4"/>
        <v>1</v>
      </c>
      <c r="L26" s="3">
        <f t="shared" si="4"/>
        <v>1</v>
      </c>
      <c r="M26" s="3">
        <f t="shared" si="4"/>
        <v>1</v>
      </c>
      <c r="N26" s="3">
        <f t="shared" si="4"/>
        <v>1</v>
      </c>
      <c r="O26" s="3" t="e">
        <f t="shared" si="4"/>
        <v>#N/A</v>
      </c>
    </row>
    <row r="27" spans="2:15" ht="12.75" x14ac:dyDescent="0.2">
      <c r="B27" s="3" t="s">
        <v>42</v>
      </c>
      <c r="C27" s="7">
        <f>MIN(IF(C24&lt;&gt;"",C24,IF(AND(C21&lt;&gt;"",C22&lt;&gt;""),C21/C22,0)),1)</f>
        <v>1</v>
      </c>
      <c r="D27" s="7">
        <f t="shared" ref="D27:O27" si="5">MIN(IF(D24&lt;&gt;"",D24,IF(AND(D21&lt;&gt;"",D22&lt;&gt;""),D21/D22,0)),1)</f>
        <v>1</v>
      </c>
      <c r="E27" s="7">
        <f t="shared" si="5"/>
        <v>1</v>
      </c>
      <c r="F27" s="7">
        <f t="shared" si="5"/>
        <v>1</v>
      </c>
      <c r="G27" s="7">
        <f t="shared" si="5"/>
        <v>1</v>
      </c>
      <c r="H27" s="7">
        <f t="shared" si="5"/>
        <v>1</v>
      </c>
      <c r="I27" s="7">
        <f t="shared" si="5"/>
        <v>1</v>
      </c>
      <c r="J27" s="7">
        <f t="shared" si="5"/>
        <v>1</v>
      </c>
      <c r="K27" s="7">
        <f t="shared" si="5"/>
        <v>1</v>
      </c>
      <c r="L27" s="7">
        <f t="shared" si="5"/>
        <v>1</v>
      </c>
      <c r="M27" s="7">
        <f t="shared" si="5"/>
        <v>1</v>
      </c>
      <c r="N27" s="7">
        <f t="shared" si="5"/>
        <v>1</v>
      </c>
      <c r="O27" s="7">
        <f t="shared" si="5"/>
        <v>0</v>
      </c>
    </row>
    <row r="29" spans="2:15" ht="12.75" x14ac:dyDescent="0.2">
      <c r="B29" s="3" t="s">
        <v>83</v>
      </c>
      <c r="C29" s="5">
        <f t="shared" ref="C29:N29" si="6">IF(C17="",0,C20)</f>
        <v>120000</v>
      </c>
      <c r="D29" s="5">
        <f t="shared" si="6"/>
        <v>120000</v>
      </c>
      <c r="E29" s="5">
        <f t="shared" si="6"/>
        <v>120000</v>
      </c>
      <c r="F29" s="5">
        <f t="shared" si="6"/>
        <v>120000</v>
      </c>
      <c r="G29" s="5">
        <f t="shared" si="6"/>
        <v>120000</v>
      </c>
      <c r="H29" s="5">
        <f t="shared" si="6"/>
        <v>120000</v>
      </c>
      <c r="I29" s="5">
        <f t="shared" si="6"/>
        <v>120000</v>
      </c>
      <c r="J29" s="5">
        <f t="shared" si="6"/>
        <v>120000</v>
      </c>
      <c r="K29" s="5">
        <f t="shared" si="6"/>
        <v>120000</v>
      </c>
      <c r="L29" s="5">
        <f t="shared" si="6"/>
        <v>120000</v>
      </c>
      <c r="M29" s="5">
        <f t="shared" si="6"/>
        <v>120000</v>
      </c>
      <c r="N29" s="5">
        <f t="shared" si="6"/>
        <v>120000</v>
      </c>
      <c r="O29" s="5" t="e">
        <f t="shared" ref="O29" si="7">IF(O17="",0,O20*PRTijdvakkenMax)</f>
        <v>#N/A</v>
      </c>
    </row>
    <row r="30" spans="2:15" ht="12.75" x14ac:dyDescent="0.2">
      <c r="B30" s="3" t="s">
        <v>84</v>
      </c>
      <c r="C30" s="5">
        <f t="shared" ref="C30:O30" si="8">MAX(MIN(C29,PRMaxLoon)-PRFranchise,0)</f>
        <v>91731</v>
      </c>
      <c r="D30" s="5">
        <f t="shared" si="8"/>
        <v>91731</v>
      </c>
      <c r="E30" s="5">
        <f t="shared" si="8"/>
        <v>91731</v>
      </c>
      <c r="F30" s="5">
        <f t="shared" si="8"/>
        <v>91731</v>
      </c>
      <c r="G30" s="5">
        <f t="shared" si="8"/>
        <v>91731</v>
      </c>
      <c r="H30" s="5">
        <f t="shared" si="8"/>
        <v>91731</v>
      </c>
      <c r="I30" s="5">
        <f t="shared" si="8"/>
        <v>91731</v>
      </c>
      <c r="J30" s="5">
        <f t="shared" si="8"/>
        <v>91731</v>
      </c>
      <c r="K30" s="5">
        <f t="shared" si="8"/>
        <v>91731</v>
      </c>
      <c r="L30" s="5">
        <f t="shared" si="8"/>
        <v>91731</v>
      </c>
      <c r="M30" s="5">
        <f t="shared" si="8"/>
        <v>91731</v>
      </c>
      <c r="N30" s="5">
        <f t="shared" si="8"/>
        <v>91731</v>
      </c>
      <c r="O30" s="5" t="e">
        <f t="shared" si="8"/>
        <v>#N/A</v>
      </c>
    </row>
    <row r="31" spans="2:15" ht="12.75" x14ac:dyDescent="0.2">
      <c r="B31" s="3" t="s">
        <v>85</v>
      </c>
      <c r="C31" s="5">
        <f t="shared" ref="C31:O31" si="9">C30*C27</f>
        <v>91731</v>
      </c>
      <c r="D31" s="5">
        <f t="shared" si="9"/>
        <v>91731</v>
      </c>
      <c r="E31" s="5">
        <f t="shared" si="9"/>
        <v>91731</v>
      </c>
      <c r="F31" s="5">
        <f t="shared" si="9"/>
        <v>91731</v>
      </c>
      <c r="G31" s="5">
        <f t="shared" si="9"/>
        <v>91731</v>
      </c>
      <c r="H31" s="5">
        <f t="shared" si="9"/>
        <v>91731</v>
      </c>
      <c r="I31" s="5">
        <f t="shared" si="9"/>
        <v>91731</v>
      </c>
      <c r="J31" s="5">
        <f t="shared" si="9"/>
        <v>91731</v>
      </c>
      <c r="K31" s="5">
        <f t="shared" si="9"/>
        <v>91731</v>
      </c>
      <c r="L31" s="5">
        <f t="shared" si="9"/>
        <v>91731</v>
      </c>
      <c r="M31" s="5">
        <f t="shared" si="9"/>
        <v>91731</v>
      </c>
      <c r="N31" s="5">
        <f t="shared" si="9"/>
        <v>91731</v>
      </c>
      <c r="O31" s="5" t="e">
        <f t="shared" si="9"/>
        <v>#N/A</v>
      </c>
    </row>
    <row r="32" spans="2:15" x14ac:dyDescent="0.3">
      <c r="B32" s="3" t="s">
        <v>73</v>
      </c>
      <c r="C32" s="5">
        <f t="shared" ref="C32:O32" si="10">C31*PRPremiePercentage</f>
        <v>22015.439999999999</v>
      </c>
      <c r="D32" s="5">
        <f t="shared" si="10"/>
        <v>22015.439999999999</v>
      </c>
      <c r="E32" s="5">
        <f t="shared" si="10"/>
        <v>22015.439999999999</v>
      </c>
      <c r="F32" s="5">
        <f t="shared" si="10"/>
        <v>22015.439999999999</v>
      </c>
      <c r="G32" s="5">
        <f t="shared" si="10"/>
        <v>22015.439999999999</v>
      </c>
      <c r="H32" s="5">
        <f t="shared" si="10"/>
        <v>22015.439999999999</v>
      </c>
      <c r="I32" s="5">
        <f t="shared" si="10"/>
        <v>22015.439999999999</v>
      </c>
      <c r="J32" s="5">
        <f t="shared" si="10"/>
        <v>22015.439999999999</v>
      </c>
      <c r="K32" s="5">
        <f t="shared" si="10"/>
        <v>22015.439999999999</v>
      </c>
      <c r="L32" s="5">
        <f t="shared" si="10"/>
        <v>22015.439999999999</v>
      </c>
      <c r="M32" s="5">
        <f t="shared" si="10"/>
        <v>22015.439999999999</v>
      </c>
      <c r="N32" s="5">
        <f t="shared" si="10"/>
        <v>22015.439999999999</v>
      </c>
      <c r="O32" s="5" t="e">
        <f t="shared" si="10"/>
        <v>#N/A</v>
      </c>
    </row>
    <row r="33" spans="2:15" x14ac:dyDescent="0.3">
      <c r="C33" s="5"/>
      <c r="D33" s="5"/>
      <c r="E33" s="5"/>
      <c r="F33" s="5"/>
      <c r="G33" s="5"/>
      <c r="H33" s="5"/>
      <c r="I33" s="5"/>
      <c r="J33" s="5"/>
      <c r="K33" s="5"/>
      <c r="L33" s="5"/>
      <c r="M33" s="5"/>
      <c r="N33" s="5"/>
      <c r="O33" s="5"/>
    </row>
    <row r="34" spans="2:15" x14ac:dyDescent="0.3">
      <c r="B34" s="6" t="s">
        <v>80</v>
      </c>
      <c r="C34" s="5">
        <f t="shared" ref="C34:O34" si="11">ROUND(C31/PRTijdvakkenMax*C26,2)</f>
        <v>7644.25</v>
      </c>
      <c r="D34" s="5">
        <f t="shared" si="11"/>
        <v>7644.25</v>
      </c>
      <c r="E34" s="5">
        <f t="shared" si="11"/>
        <v>7644.25</v>
      </c>
      <c r="F34" s="5">
        <f t="shared" si="11"/>
        <v>7644.25</v>
      </c>
      <c r="G34" s="5">
        <f t="shared" si="11"/>
        <v>7644.25</v>
      </c>
      <c r="H34" s="5">
        <f t="shared" si="11"/>
        <v>7644.25</v>
      </c>
      <c r="I34" s="5">
        <f t="shared" si="11"/>
        <v>7644.25</v>
      </c>
      <c r="J34" s="5">
        <f t="shared" si="11"/>
        <v>7644.25</v>
      </c>
      <c r="K34" s="5">
        <f t="shared" si="11"/>
        <v>7644.25</v>
      </c>
      <c r="L34" s="5">
        <f t="shared" si="11"/>
        <v>7644.25</v>
      </c>
      <c r="M34" s="5">
        <f t="shared" si="11"/>
        <v>7644.25</v>
      </c>
      <c r="N34" s="5">
        <f t="shared" si="11"/>
        <v>7644.25</v>
      </c>
      <c r="O34" s="5" t="e">
        <f t="shared" si="11"/>
        <v>#N/A</v>
      </c>
    </row>
    <row r="35" spans="2:15" x14ac:dyDescent="0.3">
      <c r="B35" s="6" t="s">
        <v>44</v>
      </c>
      <c r="C35" s="5">
        <f>ROUND(C32/PRTijdvakkenMax*C26,2)</f>
        <v>1834.62</v>
      </c>
      <c r="D35" s="5">
        <f t="shared" ref="D35:O35" si="12">ROUND(D32/PRTijdvakkenMax*D26,2)</f>
        <v>1834.62</v>
      </c>
      <c r="E35" s="5">
        <f t="shared" si="12"/>
        <v>1834.62</v>
      </c>
      <c r="F35" s="5">
        <f t="shared" si="12"/>
        <v>1834.62</v>
      </c>
      <c r="G35" s="5">
        <f t="shared" si="12"/>
        <v>1834.62</v>
      </c>
      <c r="H35" s="5">
        <f t="shared" si="12"/>
        <v>1834.62</v>
      </c>
      <c r="I35" s="5">
        <f t="shared" si="12"/>
        <v>1834.62</v>
      </c>
      <c r="J35" s="5">
        <f t="shared" si="12"/>
        <v>1834.62</v>
      </c>
      <c r="K35" s="5">
        <f t="shared" si="12"/>
        <v>1834.62</v>
      </c>
      <c r="L35" s="5">
        <f t="shared" si="12"/>
        <v>1834.62</v>
      </c>
      <c r="M35" s="5">
        <f t="shared" si="12"/>
        <v>1834.62</v>
      </c>
      <c r="N35" s="5">
        <f t="shared" si="12"/>
        <v>1834.62</v>
      </c>
      <c r="O35" s="5" t="e">
        <f t="shared" si="12"/>
        <v>#N/A</v>
      </c>
    </row>
    <row r="36" spans="2:15" x14ac:dyDescent="0.3">
      <c r="B36" s="3" t="s">
        <v>45</v>
      </c>
      <c r="C36" s="5">
        <f>SUM($C35:C35)</f>
        <v>1834.62</v>
      </c>
      <c r="D36" s="5">
        <f>SUM($C35:D35)</f>
        <v>3669.24</v>
      </c>
      <c r="E36" s="5">
        <f>SUM($C35:E35)</f>
        <v>5503.86</v>
      </c>
      <c r="F36" s="5">
        <f>SUM($C35:F35)</f>
        <v>7338.48</v>
      </c>
      <c r="G36" s="5">
        <f>SUM($C35:G35)</f>
        <v>9173.0999999999985</v>
      </c>
      <c r="H36" s="5">
        <f>SUM($C35:H35)</f>
        <v>11007.719999999998</v>
      </c>
      <c r="I36" s="5">
        <f>SUM($C35:I35)</f>
        <v>12842.339999999997</v>
      </c>
      <c r="J36" s="5">
        <f>SUM($C35:J35)</f>
        <v>14676.959999999995</v>
      </c>
      <c r="K36" s="5">
        <f>SUM($C35:K35)</f>
        <v>16511.579999999994</v>
      </c>
      <c r="L36" s="5">
        <f>SUM($C35:L35)</f>
        <v>18346.199999999993</v>
      </c>
      <c r="M36" s="5">
        <f>SUM($C35:M35)</f>
        <v>20180.819999999992</v>
      </c>
      <c r="N36" s="5">
        <f>SUM($C35:N35)</f>
        <v>22015.439999999991</v>
      </c>
      <c r="O36" s="5" t="e">
        <f>SUM($C35:O35)</f>
        <v>#N/A</v>
      </c>
    </row>
    <row r="38" spans="2:15" x14ac:dyDescent="0.3">
      <c r="B38" s="3" t="s">
        <v>87</v>
      </c>
      <c r="C38" s="5">
        <f t="shared" ref="C38:N38" si="13">SUM(DLN_bijdrage*C34)</f>
        <v>382.21250000000003</v>
      </c>
      <c r="D38" s="5">
        <f t="shared" si="13"/>
        <v>382.21250000000003</v>
      </c>
      <c r="E38" s="5">
        <f t="shared" si="13"/>
        <v>382.21250000000003</v>
      </c>
      <c r="F38" s="5">
        <f t="shared" si="13"/>
        <v>382.21250000000003</v>
      </c>
      <c r="G38" s="5">
        <f t="shared" si="13"/>
        <v>382.21250000000003</v>
      </c>
      <c r="H38" s="5">
        <f t="shared" si="13"/>
        <v>382.21250000000003</v>
      </c>
      <c r="I38" s="5">
        <f t="shared" si="13"/>
        <v>382.21250000000003</v>
      </c>
      <c r="J38" s="5">
        <f t="shared" si="13"/>
        <v>382.21250000000003</v>
      </c>
      <c r="K38" s="5">
        <f t="shared" si="13"/>
        <v>382.21250000000003</v>
      </c>
      <c r="L38" s="5">
        <f t="shared" si="13"/>
        <v>382.21250000000003</v>
      </c>
      <c r="M38" s="5">
        <f t="shared" si="13"/>
        <v>382.21250000000003</v>
      </c>
      <c r="N38" s="5">
        <f t="shared" si="13"/>
        <v>382.21250000000003</v>
      </c>
    </row>
  </sheetData>
  <conditionalFormatting sqref="O1:O1048576">
    <cfRule type="expression" dxfId="1" priority="1">
      <formula>$I$10=12</formula>
    </cfRule>
  </conditionalFormatting>
  <dataValidations count="1">
    <dataValidation type="list" allowBlank="1" showInputMessage="1" showErrorMessage="1" sqref="F10">
      <formula1>"Maandelijks,4-wekelijks"</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M20" sqref="M20"/>
    </sheetView>
  </sheetViews>
  <sheetFormatPr defaultColWidth="9.109375" defaultRowHeight="14.4" x14ac:dyDescent="0.3"/>
  <cols>
    <col min="1" max="1" width="10" style="3" customWidth="1"/>
    <col min="2" max="2" width="39" style="3" bestFit="1" customWidth="1"/>
    <col min="3" max="14" width="12.5546875" style="3" customWidth="1"/>
    <col min="15" max="15" width="8.88671875"/>
    <col min="16" max="16" width="12.5546875" style="28" customWidth="1"/>
    <col min="17" max="16384" width="9.109375" style="3"/>
  </cols>
  <sheetData>
    <row r="1" spans="1:16" ht="12.75" x14ac:dyDescent="0.2">
      <c r="O1" s="3"/>
    </row>
    <row r="2" spans="1:16" ht="15.6" x14ac:dyDescent="0.3">
      <c r="A2" s="26" t="s">
        <v>91</v>
      </c>
      <c r="B2" s="26" t="s">
        <v>95</v>
      </c>
      <c r="O2" s="3"/>
    </row>
    <row r="3" spans="1:16" ht="38.25" x14ac:dyDescent="0.2">
      <c r="B3" s="27" t="s">
        <v>96</v>
      </c>
      <c r="O3" s="3"/>
    </row>
    <row r="4" spans="1:16" ht="12.75" x14ac:dyDescent="0.2">
      <c r="O4" s="3"/>
    </row>
    <row r="5" spans="1:16" ht="12.75" customHeight="1" x14ac:dyDescent="0.25">
      <c r="A5" s="17"/>
      <c r="O5" s="3"/>
    </row>
    <row r="6" spans="1:16" ht="12.75" x14ac:dyDescent="0.2">
      <c r="B6" s="14" t="s">
        <v>38</v>
      </c>
      <c r="E6" s="14" t="s">
        <v>86</v>
      </c>
      <c r="K6" s="6"/>
      <c r="L6" s="8" t="s">
        <v>81</v>
      </c>
      <c r="O6" s="3"/>
    </row>
    <row r="7" spans="1:16" ht="12.75" x14ac:dyDescent="0.2">
      <c r="B7" s="3" t="s">
        <v>39</v>
      </c>
      <c r="C7" s="10">
        <v>13344</v>
      </c>
      <c r="E7" s="3" t="s">
        <v>5</v>
      </c>
      <c r="F7" s="12">
        <v>43101</v>
      </c>
      <c r="K7" s="9"/>
      <c r="L7" s="8" t="s">
        <v>82</v>
      </c>
      <c r="O7" s="3"/>
    </row>
    <row r="8" spans="1:16" ht="12.75" x14ac:dyDescent="0.2">
      <c r="B8" s="3" t="s">
        <v>40</v>
      </c>
      <c r="C8" s="10">
        <v>105075</v>
      </c>
      <c r="E8" s="3" t="s">
        <v>6</v>
      </c>
      <c r="F8" s="12"/>
      <c r="I8" s="4"/>
      <c r="O8" s="3"/>
    </row>
    <row r="9" spans="1:16" ht="12.75" x14ac:dyDescent="0.2">
      <c r="B9" s="3" t="s">
        <v>41</v>
      </c>
      <c r="C9" s="11">
        <v>0.24</v>
      </c>
      <c r="I9" s="4"/>
      <c r="O9" s="3"/>
    </row>
    <row r="10" spans="1:16" ht="12.75" x14ac:dyDescent="0.2">
      <c r="B10" s="3" t="s">
        <v>93</v>
      </c>
      <c r="C10" s="11">
        <v>0.05</v>
      </c>
      <c r="E10" s="3" t="s">
        <v>74</v>
      </c>
      <c r="F10" s="9" t="s">
        <v>46</v>
      </c>
      <c r="H10" s="3" t="s">
        <v>75</v>
      </c>
      <c r="I10" s="3">
        <v>12</v>
      </c>
      <c r="O10" s="3"/>
    </row>
    <row r="11" spans="1:16" ht="12.75" x14ac:dyDescent="0.2">
      <c r="I11" s="4"/>
      <c r="O11" s="3"/>
    </row>
    <row r="12" spans="1:16" ht="12.75" hidden="1" x14ac:dyDescent="0.2">
      <c r="C12" s="3">
        <v>1</v>
      </c>
      <c r="D12" s="3">
        <v>2</v>
      </c>
      <c r="E12" s="3">
        <v>3</v>
      </c>
      <c r="F12" s="3">
        <v>4</v>
      </c>
      <c r="G12" s="3">
        <v>5</v>
      </c>
      <c r="H12" s="3">
        <v>6</v>
      </c>
      <c r="I12" s="3">
        <v>7</v>
      </c>
      <c r="J12" s="3">
        <v>8</v>
      </c>
      <c r="K12" s="3">
        <v>9</v>
      </c>
      <c r="L12" s="3">
        <v>10</v>
      </c>
      <c r="M12" s="3">
        <v>11</v>
      </c>
      <c r="N12" s="3">
        <v>12</v>
      </c>
      <c r="O12" s="3"/>
      <c r="P12" s="28">
        <v>13</v>
      </c>
    </row>
    <row r="13" spans="1:16" s="16" customFormat="1" ht="12.75" x14ac:dyDescent="0.2">
      <c r="B13" s="15" t="s">
        <v>0</v>
      </c>
      <c r="C13" s="15" t="str">
        <f>VLOOKUP($F$10&amp;C12,Tijdvakken!$A:$B,2,0)</f>
        <v>Januari</v>
      </c>
      <c r="D13" s="15" t="str">
        <f>VLOOKUP($F$10&amp;D12,Tijdvakken!$A:$B,2,0)</f>
        <v>Februari</v>
      </c>
      <c r="E13" s="15" t="str">
        <f>VLOOKUP($F$10&amp;E12,Tijdvakken!$A:$B,2,0)</f>
        <v>Maart</v>
      </c>
      <c r="F13" s="15" t="str">
        <f>VLOOKUP($F$10&amp;F12,Tijdvakken!$A:$B,2,0)</f>
        <v>April</v>
      </c>
      <c r="G13" s="15" t="str">
        <f>VLOOKUP($F$10&amp;G12,Tijdvakken!$A:$B,2,0)</f>
        <v>Mei</v>
      </c>
      <c r="H13" s="15" t="str">
        <f>VLOOKUP($F$10&amp;H12,Tijdvakken!$A:$B,2,0)</f>
        <v>Juni</v>
      </c>
      <c r="I13" s="15" t="str">
        <f>VLOOKUP($F$10&amp;I12,Tijdvakken!$A:$B,2,0)</f>
        <v>Juli</v>
      </c>
      <c r="J13" s="15" t="str">
        <f>VLOOKUP($F$10&amp;J12,Tijdvakken!$A:$B,2,0)</f>
        <v>Augustus</v>
      </c>
      <c r="K13" s="15" t="str">
        <f>VLOOKUP($F$10&amp;K12,Tijdvakken!$A:$B,2,0)</f>
        <v>September</v>
      </c>
      <c r="L13" s="15" t="str">
        <f>VLOOKUP($F$10&amp;L12,Tijdvakken!$A:$B,2,0)</f>
        <v>Oktober</v>
      </c>
      <c r="M13" s="15" t="str">
        <f>VLOOKUP($F$10&amp;M12,Tijdvakken!$A:$B,2,0)</f>
        <v>November</v>
      </c>
      <c r="N13" s="15" t="str">
        <f>VLOOKUP($F$10&amp;N12,Tijdvakken!$A:$B,2,0)</f>
        <v>December</v>
      </c>
      <c r="P13" s="29" t="s">
        <v>7</v>
      </c>
    </row>
    <row r="14" spans="1:16" ht="12.75" x14ac:dyDescent="0.2">
      <c r="B14" s="6" t="s">
        <v>3</v>
      </c>
      <c r="C14" s="4">
        <f t="shared" ref="C14:N14" si="0">VLOOKUP(C13,TabelTijdvak,2,0)</f>
        <v>43101</v>
      </c>
      <c r="D14" s="4">
        <f t="shared" si="0"/>
        <v>43132</v>
      </c>
      <c r="E14" s="4">
        <f t="shared" si="0"/>
        <v>43160</v>
      </c>
      <c r="F14" s="4">
        <f t="shared" si="0"/>
        <v>43191</v>
      </c>
      <c r="G14" s="4">
        <f t="shared" si="0"/>
        <v>43221</v>
      </c>
      <c r="H14" s="4">
        <f t="shared" si="0"/>
        <v>43252</v>
      </c>
      <c r="I14" s="4">
        <f t="shared" si="0"/>
        <v>43282</v>
      </c>
      <c r="J14" s="4">
        <f t="shared" si="0"/>
        <v>43313</v>
      </c>
      <c r="K14" s="4">
        <f t="shared" si="0"/>
        <v>43344</v>
      </c>
      <c r="L14" s="4">
        <f t="shared" si="0"/>
        <v>43374</v>
      </c>
      <c r="M14" s="4">
        <f t="shared" si="0"/>
        <v>43405</v>
      </c>
      <c r="N14" s="4">
        <f t="shared" si="0"/>
        <v>43435</v>
      </c>
      <c r="O14" s="3"/>
      <c r="P14" s="30">
        <v>43466</v>
      </c>
    </row>
    <row r="15" spans="1:16" ht="12.75" x14ac:dyDescent="0.2">
      <c r="B15" s="6" t="s">
        <v>4</v>
      </c>
      <c r="C15" s="4">
        <f t="shared" ref="C15:N15" si="1">VLOOKUP(C13,TabelTijdvak,3,0)</f>
        <v>43131</v>
      </c>
      <c r="D15" s="4">
        <f t="shared" si="1"/>
        <v>43159</v>
      </c>
      <c r="E15" s="4">
        <f t="shared" si="1"/>
        <v>43190</v>
      </c>
      <c r="F15" s="4">
        <f t="shared" si="1"/>
        <v>43220</v>
      </c>
      <c r="G15" s="4">
        <f t="shared" si="1"/>
        <v>43251</v>
      </c>
      <c r="H15" s="4">
        <f t="shared" si="1"/>
        <v>43281</v>
      </c>
      <c r="I15" s="4">
        <f t="shared" si="1"/>
        <v>43312</v>
      </c>
      <c r="J15" s="4">
        <f t="shared" si="1"/>
        <v>43343</v>
      </c>
      <c r="K15" s="4">
        <f t="shared" si="1"/>
        <v>43373</v>
      </c>
      <c r="L15" s="4">
        <f t="shared" si="1"/>
        <v>43404</v>
      </c>
      <c r="M15" s="4">
        <f t="shared" si="1"/>
        <v>43434</v>
      </c>
      <c r="N15" s="4">
        <f t="shared" si="1"/>
        <v>43465</v>
      </c>
      <c r="O15" s="3"/>
      <c r="P15" s="30">
        <v>43496</v>
      </c>
    </row>
    <row r="16" spans="1:16" ht="12.75" x14ac:dyDescent="0.2">
      <c r="C16" s="4"/>
      <c r="D16" s="4"/>
      <c r="E16" s="4"/>
      <c r="F16" s="4"/>
      <c r="G16" s="4"/>
      <c r="H16" s="4"/>
      <c r="I16" s="4"/>
      <c r="J16" s="4"/>
      <c r="K16" s="4"/>
      <c r="L16" s="4"/>
      <c r="M16" s="4"/>
      <c r="N16" s="4"/>
      <c r="O16" s="3"/>
      <c r="P16" s="30"/>
    </row>
    <row r="17" spans="2:16" ht="12.75" x14ac:dyDescent="0.2">
      <c r="B17" s="6" t="s">
        <v>32</v>
      </c>
      <c r="C17" s="4">
        <f t="shared" ref="C17:N17" si="2">IF(OR($F$7&gt;C15,AND($F$8&lt;C14,$F$8&lt;&gt;0)),"",MAX(C14,$F$7))</f>
        <v>43101</v>
      </c>
      <c r="D17" s="4">
        <f t="shared" si="2"/>
        <v>43132</v>
      </c>
      <c r="E17" s="4">
        <f t="shared" si="2"/>
        <v>43160</v>
      </c>
      <c r="F17" s="4">
        <f t="shared" si="2"/>
        <v>43191</v>
      </c>
      <c r="G17" s="4">
        <f t="shared" si="2"/>
        <v>43221</v>
      </c>
      <c r="H17" s="4">
        <f t="shared" si="2"/>
        <v>43252</v>
      </c>
      <c r="I17" s="4">
        <f t="shared" si="2"/>
        <v>43282</v>
      </c>
      <c r="J17" s="4">
        <f t="shared" si="2"/>
        <v>43313</v>
      </c>
      <c r="K17" s="4">
        <f t="shared" si="2"/>
        <v>43344</v>
      </c>
      <c r="L17" s="4">
        <f t="shared" si="2"/>
        <v>43374</v>
      </c>
      <c r="M17" s="4">
        <f t="shared" si="2"/>
        <v>43405</v>
      </c>
      <c r="N17" s="4">
        <f t="shared" si="2"/>
        <v>43435</v>
      </c>
      <c r="O17" s="3"/>
      <c r="P17" s="30">
        <f>IF(OR($F$7&gt;P15,AND($F$8&lt;P14,$F$8&lt;&gt;0)),"",MAX(P14,$F$7))</f>
        <v>43466</v>
      </c>
    </row>
    <row r="18" spans="2:16" ht="12.75" x14ac:dyDescent="0.2">
      <c r="B18" s="6" t="s">
        <v>33</v>
      </c>
      <c r="C18" s="4">
        <f t="shared" ref="C18:N18" si="3">IF(OR($F$7&gt;C15,AND($F$8&lt;C14,$F$8&lt;&gt;0)),"",MIN(C15,$F$8))</f>
        <v>43131</v>
      </c>
      <c r="D18" s="4">
        <f t="shared" si="3"/>
        <v>43159</v>
      </c>
      <c r="E18" s="4">
        <f t="shared" si="3"/>
        <v>43190</v>
      </c>
      <c r="F18" s="4">
        <f t="shared" si="3"/>
        <v>43220</v>
      </c>
      <c r="G18" s="4">
        <f t="shared" si="3"/>
        <v>43251</v>
      </c>
      <c r="H18" s="4">
        <f t="shared" si="3"/>
        <v>43281</v>
      </c>
      <c r="I18" s="4">
        <f t="shared" si="3"/>
        <v>43312</v>
      </c>
      <c r="J18" s="4">
        <f t="shared" si="3"/>
        <v>43343</v>
      </c>
      <c r="K18" s="4">
        <f t="shared" si="3"/>
        <v>43373</v>
      </c>
      <c r="L18" s="4">
        <f t="shared" si="3"/>
        <v>43404</v>
      </c>
      <c r="M18" s="4">
        <f t="shared" si="3"/>
        <v>43434</v>
      </c>
      <c r="N18" s="4">
        <f t="shared" si="3"/>
        <v>43465</v>
      </c>
      <c r="O18" s="3"/>
      <c r="P18" s="30">
        <f>IF(OR($F$7&gt;P15,AND($F$8&lt;P14,$F$8&lt;&gt;0)),"",MIN(P15,$F$8))</f>
        <v>43496</v>
      </c>
    </row>
    <row r="19" spans="2:16" ht="12.75" x14ac:dyDescent="0.2">
      <c r="O19" s="3"/>
      <c r="P19" s="31"/>
    </row>
    <row r="20" spans="2:16" ht="12.75" x14ac:dyDescent="0.2">
      <c r="B20" s="6" t="s">
        <v>34</v>
      </c>
      <c r="C20" s="10">
        <v>60000</v>
      </c>
      <c r="D20" s="10">
        <v>60000</v>
      </c>
      <c r="E20" s="10">
        <v>60000</v>
      </c>
      <c r="F20" s="10">
        <v>60000</v>
      </c>
      <c r="G20" s="10">
        <v>60000</v>
      </c>
      <c r="H20" s="10">
        <v>60000</v>
      </c>
      <c r="I20" s="10">
        <v>60000</v>
      </c>
      <c r="J20" s="10">
        <v>60000</v>
      </c>
      <c r="K20" s="10">
        <v>60000</v>
      </c>
      <c r="L20" s="10">
        <v>60000</v>
      </c>
      <c r="M20" s="10">
        <v>60000</v>
      </c>
      <c r="N20" s="10">
        <v>60000</v>
      </c>
      <c r="O20" s="3"/>
      <c r="P20" s="32">
        <v>66000</v>
      </c>
    </row>
    <row r="21" spans="2:16" ht="12.75" x14ac:dyDescent="0.2">
      <c r="B21" s="6" t="s">
        <v>43</v>
      </c>
      <c r="C21" s="9"/>
      <c r="D21" s="9"/>
      <c r="E21" s="9"/>
      <c r="F21" s="9"/>
      <c r="G21" s="9"/>
      <c r="H21" s="9"/>
      <c r="I21" s="9"/>
      <c r="J21" s="9"/>
      <c r="K21" s="9"/>
      <c r="L21" s="9"/>
      <c r="M21" s="9"/>
      <c r="N21" s="9"/>
      <c r="O21" s="3"/>
      <c r="P21" s="31"/>
    </row>
    <row r="22" spans="2:16" ht="12.75" x14ac:dyDescent="0.2">
      <c r="B22" s="6" t="s">
        <v>35</v>
      </c>
      <c r="C22" s="9"/>
      <c r="D22" s="9"/>
      <c r="E22" s="9"/>
      <c r="F22" s="9"/>
      <c r="G22" s="9"/>
      <c r="H22" s="9"/>
      <c r="I22" s="9"/>
      <c r="J22" s="9"/>
      <c r="K22" s="9"/>
      <c r="L22" s="9"/>
      <c r="M22" s="9"/>
      <c r="N22" s="9"/>
      <c r="O22" s="3"/>
      <c r="P22" s="31"/>
    </row>
    <row r="23" spans="2:16" ht="12.75" x14ac:dyDescent="0.2">
      <c r="B23" s="6" t="s">
        <v>99</v>
      </c>
      <c r="C23" s="9"/>
      <c r="D23" s="9"/>
      <c r="E23" s="9"/>
      <c r="F23" s="9"/>
      <c r="G23" s="9"/>
      <c r="H23" s="9"/>
      <c r="I23" s="9"/>
      <c r="J23" s="9"/>
      <c r="K23" s="9"/>
      <c r="L23" s="9"/>
      <c r="M23" s="9"/>
      <c r="N23" s="9"/>
      <c r="O23" s="3"/>
      <c r="P23" s="31"/>
    </row>
    <row r="24" spans="2:16" ht="12.75" x14ac:dyDescent="0.2">
      <c r="B24" s="6" t="s">
        <v>36</v>
      </c>
      <c r="C24" s="13">
        <v>1</v>
      </c>
      <c r="D24" s="13">
        <v>1</v>
      </c>
      <c r="E24" s="13">
        <v>1</v>
      </c>
      <c r="F24" s="13">
        <v>1</v>
      </c>
      <c r="G24" s="13">
        <v>1</v>
      </c>
      <c r="H24" s="13">
        <v>1</v>
      </c>
      <c r="I24" s="13">
        <v>1</v>
      </c>
      <c r="J24" s="13">
        <v>1</v>
      </c>
      <c r="K24" s="13">
        <v>1</v>
      </c>
      <c r="L24" s="13">
        <v>1</v>
      </c>
      <c r="M24" s="13">
        <v>1</v>
      </c>
      <c r="N24" s="13">
        <v>1</v>
      </c>
      <c r="O24" s="3"/>
      <c r="P24" s="33">
        <v>1</v>
      </c>
    </row>
    <row r="25" spans="2:16" ht="12.75" x14ac:dyDescent="0.2">
      <c r="B25" s="7"/>
      <c r="O25" s="3"/>
      <c r="P25" s="31"/>
    </row>
    <row r="26" spans="2:16" ht="13.8" x14ac:dyDescent="0.3">
      <c r="B26" s="3" t="s">
        <v>37</v>
      </c>
      <c r="C26" s="3">
        <f t="shared" ref="C26:N26" si="4">ROUND(IF(AND(C14=C17,C15=C18),1,IF(C17="",0,(C18-C17+1)/(C15-C14+1))),4)</f>
        <v>1</v>
      </c>
      <c r="D26" s="3">
        <f t="shared" si="4"/>
        <v>1</v>
      </c>
      <c r="E26" s="3">
        <f t="shared" si="4"/>
        <v>1</v>
      </c>
      <c r="F26" s="3">
        <f t="shared" si="4"/>
        <v>1</v>
      </c>
      <c r="G26" s="3">
        <f t="shared" si="4"/>
        <v>1</v>
      </c>
      <c r="H26" s="3">
        <f t="shared" si="4"/>
        <v>1</v>
      </c>
      <c r="I26" s="3">
        <f t="shared" si="4"/>
        <v>1</v>
      </c>
      <c r="J26" s="3">
        <f t="shared" si="4"/>
        <v>1</v>
      </c>
      <c r="K26" s="3">
        <f t="shared" si="4"/>
        <v>1</v>
      </c>
      <c r="L26" s="3">
        <f t="shared" si="4"/>
        <v>1</v>
      </c>
      <c r="M26" s="3">
        <f t="shared" si="4"/>
        <v>1</v>
      </c>
      <c r="N26" s="3">
        <f t="shared" si="4"/>
        <v>1</v>
      </c>
      <c r="O26" s="3"/>
      <c r="P26" s="31">
        <f>ROUND(IF(AND(P14=P17,P15=P18),1,IF(P17="",0,(P18-P17+1)/(P15-P14+1))),4)</f>
        <v>1</v>
      </c>
    </row>
    <row r="27" spans="2:16" ht="13.8" x14ac:dyDescent="0.3">
      <c r="B27" s="3" t="s">
        <v>42</v>
      </c>
      <c r="C27" s="7">
        <f>MIN(IF(C24&lt;&gt;"",C24,IF(AND(C21&lt;&gt;"",C22&lt;&gt;""),C21/C22,0)),1)</f>
        <v>1</v>
      </c>
      <c r="D27" s="7">
        <f t="shared" ref="D27:N27" si="5">MIN(IF(D24&lt;&gt;"",D24,IF(AND(D21&lt;&gt;"",D22&lt;&gt;""),D21/D22,0)),1)</f>
        <v>1</v>
      </c>
      <c r="E27" s="7">
        <f t="shared" si="5"/>
        <v>1</v>
      </c>
      <c r="F27" s="7">
        <f t="shared" si="5"/>
        <v>1</v>
      </c>
      <c r="G27" s="7">
        <f t="shared" si="5"/>
        <v>1</v>
      </c>
      <c r="H27" s="7">
        <f t="shared" si="5"/>
        <v>1</v>
      </c>
      <c r="I27" s="7">
        <f t="shared" si="5"/>
        <v>1</v>
      </c>
      <c r="J27" s="7">
        <f t="shared" si="5"/>
        <v>1</v>
      </c>
      <c r="K27" s="7">
        <f t="shared" si="5"/>
        <v>1</v>
      </c>
      <c r="L27" s="7">
        <f t="shared" si="5"/>
        <v>1</v>
      </c>
      <c r="M27" s="7">
        <f t="shared" si="5"/>
        <v>1</v>
      </c>
      <c r="N27" s="7">
        <f t="shared" si="5"/>
        <v>1</v>
      </c>
      <c r="O27" s="3"/>
      <c r="P27" s="31">
        <f>MIN(IF(P24&lt;&gt;"",P24,IF(AND(P21&lt;&gt;"",P22&lt;&gt;""),P21/P22,0)),1)</f>
        <v>1</v>
      </c>
    </row>
    <row r="28" spans="2:16" x14ac:dyDescent="0.3">
      <c r="P28" s="31"/>
    </row>
    <row r="29" spans="2:16" ht="13.8" x14ac:dyDescent="0.3">
      <c r="B29" s="3" t="s">
        <v>83</v>
      </c>
      <c r="C29" s="5">
        <f t="shared" ref="C29:N29" si="6">IF(C17="",0,C20)</f>
        <v>60000</v>
      </c>
      <c r="D29" s="5">
        <f t="shared" si="6"/>
        <v>60000</v>
      </c>
      <c r="E29" s="5">
        <f t="shared" si="6"/>
        <v>60000</v>
      </c>
      <c r="F29" s="5">
        <f t="shared" si="6"/>
        <v>60000</v>
      </c>
      <c r="G29" s="5">
        <f t="shared" si="6"/>
        <v>60000</v>
      </c>
      <c r="H29" s="5">
        <f t="shared" si="6"/>
        <v>60000</v>
      </c>
      <c r="I29" s="5">
        <f t="shared" si="6"/>
        <v>60000</v>
      </c>
      <c r="J29" s="5">
        <f t="shared" si="6"/>
        <v>60000</v>
      </c>
      <c r="K29" s="5">
        <f t="shared" si="6"/>
        <v>60000</v>
      </c>
      <c r="L29" s="5">
        <f t="shared" si="6"/>
        <v>60000</v>
      </c>
      <c r="M29" s="5">
        <f t="shared" si="6"/>
        <v>60000</v>
      </c>
      <c r="N29" s="5">
        <f t="shared" si="6"/>
        <v>60000</v>
      </c>
      <c r="O29" s="3"/>
      <c r="P29" s="32">
        <f>IF(P17="",0,P20)</f>
        <v>66000</v>
      </c>
    </row>
    <row r="30" spans="2:16" ht="13.8" x14ac:dyDescent="0.3">
      <c r="B30" s="3" t="s">
        <v>84</v>
      </c>
      <c r="C30" s="5">
        <f t="shared" ref="C30:N30" si="7">MAX(MIN(C29,PRMaxLoon)-PRFranchise,0)</f>
        <v>46656</v>
      </c>
      <c r="D30" s="5">
        <f t="shared" si="7"/>
        <v>46656</v>
      </c>
      <c r="E30" s="5">
        <f t="shared" si="7"/>
        <v>46656</v>
      </c>
      <c r="F30" s="5">
        <f t="shared" si="7"/>
        <v>46656</v>
      </c>
      <c r="G30" s="5">
        <f t="shared" si="7"/>
        <v>46656</v>
      </c>
      <c r="H30" s="5">
        <f t="shared" si="7"/>
        <v>46656</v>
      </c>
      <c r="I30" s="5">
        <f t="shared" si="7"/>
        <v>46656</v>
      </c>
      <c r="J30" s="5">
        <f t="shared" si="7"/>
        <v>46656</v>
      </c>
      <c r="K30" s="5">
        <f t="shared" si="7"/>
        <v>46656</v>
      </c>
      <c r="L30" s="5">
        <f t="shared" si="7"/>
        <v>46656</v>
      </c>
      <c r="M30" s="5">
        <f t="shared" si="7"/>
        <v>46656</v>
      </c>
      <c r="N30" s="5">
        <f t="shared" si="7"/>
        <v>46656</v>
      </c>
      <c r="O30" s="3"/>
      <c r="P30" s="32">
        <f>MAX(MIN(P29,PRMaxLoon)-PRFranchise,0)</f>
        <v>52656</v>
      </c>
    </row>
    <row r="31" spans="2:16" ht="13.8" x14ac:dyDescent="0.3">
      <c r="B31" s="3" t="s">
        <v>85</v>
      </c>
      <c r="C31" s="5">
        <f t="shared" ref="C31:N31" si="8">C30*C27</f>
        <v>46656</v>
      </c>
      <c r="D31" s="5">
        <f t="shared" si="8"/>
        <v>46656</v>
      </c>
      <c r="E31" s="5">
        <f t="shared" si="8"/>
        <v>46656</v>
      </c>
      <c r="F31" s="5">
        <f t="shared" si="8"/>
        <v>46656</v>
      </c>
      <c r="G31" s="5">
        <f t="shared" si="8"/>
        <v>46656</v>
      </c>
      <c r="H31" s="5">
        <f t="shared" si="8"/>
        <v>46656</v>
      </c>
      <c r="I31" s="5">
        <f t="shared" si="8"/>
        <v>46656</v>
      </c>
      <c r="J31" s="5">
        <f t="shared" si="8"/>
        <v>46656</v>
      </c>
      <c r="K31" s="5">
        <f t="shared" si="8"/>
        <v>46656</v>
      </c>
      <c r="L31" s="5">
        <f t="shared" si="8"/>
        <v>46656</v>
      </c>
      <c r="M31" s="5">
        <f t="shared" si="8"/>
        <v>46656</v>
      </c>
      <c r="N31" s="5">
        <f t="shared" si="8"/>
        <v>46656</v>
      </c>
      <c r="O31" s="3"/>
      <c r="P31" s="32">
        <f>P30*P27</f>
        <v>52656</v>
      </c>
    </row>
    <row r="32" spans="2:16" ht="13.8" x14ac:dyDescent="0.3">
      <c r="B32" s="3" t="s">
        <v>73</v>
      </c>
      <c r="C32" s="5">
        <f t="shared" ref="C32:N32" si="9">C31*PRPremiePercentage</f>
        <v>11197.439999999999</v>
      </c>
      <c r="D32" s="5">
        <f t="shared" si="9"/>
        <v>11197.439999999999</v>
      </c>
      <c r="E32" s="5">
        <f t="shared" si="9"/>
        <v>11197.439999999999</v>
      </c>
      <c r="F32" s="5">
        <f t="shared" si="9"/>
        <v>11197.439999999999</v>
      </c>
      <c r="G32" s="5">
        <f t="shared" si="9"/>
        <v>11197.439999999999</v>
      </c>
      <c r="H32" s="5">
        <f t="shared" si="9"/>
        <v>11197.439999999999</v>
      </c>
      <c r="I32" s="5">
        <f t="shared" si="9"/>
        <v>11197.439999999999</v>
      </c>
      <c r="J32" s="5">
        <f t="shared" si="9"/>
        <v>11197.439999999999</v>
      </c>
      <c r="K32" s="5">
        <f t="shared" si="9"/>
        <v>11197.439999999999</v>
      </c>
      <c r="L32" s="5">
        <f t="shared" si="9"/>
        <v>11197.439999999999</v>
      </c>
      <c r="M32" s="5">
        <f t="shared" si="9"/>
        <v>11197.439999999999</v>
      </c>
      <c r="N32" s="5">
        <f t="shared" si="9"/>
        <v>11197.439999999999</v>
      </c>
      <c r="O32" s="3"/>
      <c r="P32" s="32">
        <f>P31*PRPremiePercentage</f>
        <v>12637.439999999999</v>
      </c>
    </row>
    <row r="33" spans="2:16" ht="13.8" x14ac:dyDescent="0.3">
      <c r="C33" s="5"/>
      <c r="D33" s="5"/>
      <c r="E33" s="5"/>
      <c r="F33" s="5"/>
      <c r="G33" s="5"/>
      <c r="H33" s="5"/>
      <c r="I33" s="5"/>
      <c r="J33" s="5"/>
      <c r="K33" s="5"/>
      <c r="L33" s="5"/>
      <c r="M33" s="5"/>
      <c r="N33" s="5"/>
      <c r="O33" s="3"/>
      <c r="P33" s="32"/>
    </row>
    <row r="34" spans="2:16" ht="13.8" x14ac:dyDescent="0.3">
      <c r="B34" s="6" t="s">
        <v>80</v>
      </c>
      <c r="C34" s="5">
        <f t="shared" ref="C34:N34" si="10">ROUND(C31/PRTijdvakkenMax*C26,2)</f>
        <v>3888</v>
      </c>
      <c r="D34" s="5">
        <f t="shared" si="10"/>
        <v>3888</v>
      </c>
      <c r="E34" s="5">
        <f t="shared" si="10"/>
        <v>3888</v>
      </c>
      <c r="F34" s="5">
        <f t="shared" si="10"/>
        <v>3888</v>
      </c>
      <c r="G34" s="5">
        <f t="shared" si="10"/>
        <v>3888</v>
      </c>
      <c r="H34" s="5">
        <f t="shared" si="10"/>
        <v>3888</v>
      </c>
      <c r="I34" s="5">
        <f t="shared" si="10"/>
        <v>3888</v>
      </c>
      <c r="J34" s="5">
        <f t="shared" si="10"/>
        <v>3888</v>
      </c>
      <c r="K34" s="5">
        <f t="shared" si="10"/>
        <v>3888</v>
      </c>
      <c r="L34" s="5">
        <f t="shared" si="10"/>
        <v>3888</v>
      </c>
      <c r="M34" s="5">
        <f t="shared" si="10"/>
        <v>3888</v>
      </c>
      <c r="N34" s="5">
        <f t="shared" si="10"/>
        <v>3888</v>
      </c>
      <c r="O34" s="3"/>
      <c r="P34" s="32">
        <f>ROUND(P31/PRTijdvakkenMax*P26,2)</f>
        <v>4388</v>
      </c>
    </row>
    <row r="35" spans="2:16" ht="13.8" x14ac:dyDescent="0.3">
      <c r="B35" s="6" t="s">
        <v>44</v>
      </c>
      <c r="C35" s="5">
        <f>ROUND(C32/PRTijdvakkenMax*C26,2)</f>
        <v>933.12</v>
      </c>
      <c r="D35" s="5">
        <f t="shared" ref="D35:N35" si="11">ROUND(D32/PRTijdvakkenMax*D26,2)</f>
        <v>933.12</v>
      </c>
      <c r="E35" s="5">
        <f t="shared" si="11"/>
        <v>933.12</v>
      </c>
      <c r="F35" s="5">
        <f t="shared" si="11"/>
        <v>933.12</v>
      </c>
      <c r="G35" s="5">
        <f t="shared" si="11"/>
        <v>933.12</v>
      </c>
      <c r="H35" s="5">
        <f t="shared" si="11"/>
        <v>933.12</v>
      </c>
      <c r="I35" s="5">
        <f t="shared" si="11"/>
        <v>933.12</v>
      </c>
      <c r="J35" s="5">
        <f t="shared" si="11"/>
        <v>933.12</v>
      </c>
      <c r="K35" s="5">
        <f t="shared" si="11"/>
        <v>933.12</v>
      </c>
      <c r="L35" s="5">
        <f t="shared" si="11"/>
        <v>933.12</v>
      </c>
      <c r="M35" s="5">
        <f t="shared" si="11"/>
        <v>933.12</v>
      </c>
      <c r="N35" s="5">
        <f t="shared" si="11"/>
        <v>933.12</v>
      </c>
      <c r="O35" s="3"/>
      <c r="P35" s="32">
        <f>ROUND(P32/PRTijdvakkenMax*P26,2)</f>
        <v>1053.1199999999999</v>
      </c>
    </row>
    <row r="36" spans="2:16" ht="13.8" x14ac:dyDescent="0.3">
      <c r="B36" s="3" t="s">
        <v>45</v>
      </c>
      <c r="C36" s="5">
        <f>SUM($C35:C35)</f>
        <v>933.12</v>
      </c>
      <c r="D36" s="5">
        <f>SUM($C35:D35)</f>
        <v>1866.24</v>
      </c>
      <c r="E36" s="5">
        <f>SUM($C35:E35)</f>
        <v>2799.36</v>
      </c>
      <c r="F36" s="5">
        <f>SUM($C35:F35)</f>
        <v>3732.48</v>
      </c>
      <c r="G36" s="5">
        <f>SUM($C35:G35)</f>
        <v>4665.6000000000004</v>
      </c>
      <c r="H36" s="5">
        <f>SUM($C35:H35)</f>
        <v>5598.72</v>
      </c>
      <c r="I36" s="5">
        <f>SUM($C35:I35)</f>
        <v>6531.84</v>
      </c>
      <c r="J36" s="5">
        <f>SUM($C35:J35)</f>
        <v>7464.96</v>
      </c>
      <c r="K36" s="5">
        <f>SUM($C35:K35)</f>
        <v>8398.08</v>
      </c>
      <c r="L36" s="5">
        <f>SUM($C35:L35)</f>
        <v>9331.2000000000007</v>
      </c>
      <c r="M36" s="5">
        <f>SUM($C35:M35)</f>
        <v>10264.320000000002</v>
      </c>
      <c r="N36" s="5">
        <f>SUM($C35:N35)</f>
        <v>11197.440000000002</v>
      </c>
      <c r="O36" s="3"/>
      <c r="P36" s="32">
        <f>SUM($C35:P35)</f>
        <v>12250.560000000001</v>
      </c>
    </row>
    <row r="37" spans="2:16" ht="13.8" x14ac:dyDescent="0.3">
      <c r="O37" s="3"/>
      <c r="P37" s="31"/>
    </row>
    <row r="38" spans="2:16" ht="13.8" x14ac:dyDescent="0.3">
      <c r="B38" s="3" t="s">
        <v>87</v>
      </c>
      <c r="C38" s="5">
        <f t="shared" ref="C38:P38" si="12">SUM(DLN_bijdrage*C34)</f>
        <v>194.4</v>
      </c>
      <c r="D38" s="5">
        <f t="shared" si="12"/>
        <v>194.4</v>
      </c>
      <c r="E38" s="5">
        <f t="shared" si="12"/>
        <v>194.4</v>
      </c>
      <c r="F38" s="5">
        <f t="shared" si="12"/>
        <v>194.4</v>
      </c>
      <c r="G38" s="5">
        <f t="shared" si="12"/>
        <v>194.4</v>
      </c>
      <c r="H38" s="5">
        <f t="shared" si="12"/>
        <v>194.4</v>
      </c>
      <c r="I38" s="5">
        <f t="shared" si="12"/>
        <v>194.4</v>
      </c>
      <c r="J38" s="5">
        <f t="shared" si="12"/>
        <v>194.4</v>
      </c>
      <c r="K38" s="5">
        <f t="shared" si="12"/>
        <v>194.4</v>
      </c>
      <c r="L38" s="5">
        <f t="shared" si="12"/>
        <v>194.4</v>
      </c>
      <c r="M38" s="5">
        <f t="shared" si="12"/>
        <v>194.4</v>
      </c>
      <c r="N38" s="5">
        <f t="shared" si="12"/>
        <v>194.4</v>
      </c>
      <c r="O38" s="3"/>
      <c r="P38" s="34">
        <f t="shared" si="12"/>
        <v>219.4</v>
      </c>
    </row>
  </sheetData>
  <dataValidations count="1">
    <dataValidation type="list" allowBlank="1" showInputMessage="1" showErrorMessage="1" sqref="F10">
      <formula1>"Maandelijks,4-wekelijks"</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38"/>
  <sheetViews>
    <sheetView topLeftCell="A9" workbookViewId="0">
      <selection activeCell="N38" sqref="N38"/>
    </sheetView>
  </sheetViews>
  <sheetFormatPr defaultColWidth="9.109375" defaultRowHeight="13.8" x14ac:dyDescent="0.3"/>
  <cols>
    <col min="1" max="1" width="10" style="3" customWidth="1"/>
    <col min="2" max="2" width="41.44140625" style="3" customWidth="1"/>
    <col min="3" max="15" width="12.5546875" style="3" customWidth="1"/>
    <col min="16" max="16384" width="9.109375" style="3"/>
  </cols>
  <sheetData>
    <row r="2" spans="1:15" ht="15.75" x14ac:dyDescent="0.25">
      <c r="A2" s="26" t="s">
        <v>91</v>
      </c>
      <c r="B2" s="26" t="s">
        <v>97</v>
      </c>
    </row>
    <row r="3" spans="1:15" ht="76.5" x14ac:dyDescent="0.2">
      <c r="B3" s="35" t="s">
        <v>98</v>
      </c>
    </row>
    <row r="5" spans="1:15" ht="12.75" customHeight="1" x14ac:dyDescent="0.25">
      <c r="A5" s="17"/>
    </row>
    <row r="6" spans="1:15" ht="12.75" x14ac:dyDescent="0.2">
      <c r="B6" s="14" t="s">
        <v>38</v>
      </c>
      <c r="E6" s="14" t="s">
        <v>86</v>
      </c>
      <c r="K6" s="6"/>
      <c r="L6" s="8" t="s">
        <v>81</v>
      </c>
    </row>
    <row r="7" spans="1:15" ht="12.75" x14ac:dyDescent="0.2">
      <c r="B7" s="3" t="s">
        <v>39</v>
      </c>
      <c r="C7" s="10">
        <v>13344</v>
      </c>
      <c r="E7" s="3" t="s">
        <v>5</v>
      </c>
      <c r="F7" s="12">
        <v>43101</v>
      </c>
      <c r="K7" s="9"/>
      <c r="L7" s="8" t="s">
        <v>82</v>
      </c>
    </row>
    <row r="8" spans="1:15" ht="12.75" x14ac:dyDescent="0.2">
      <c r="B8" s="3" t="s">
        <v>40</v>
      </c>
      <c r="C8" s="10">
        <v>105075</v>
      </c>
      <c r="E8" s="3" t="s">
        <v>6</v>
      </c>
      <c r="F8" s="12"/>
      <c r="I8" s="4"/>
    </row>
    <row r="9" spans="1:15" ht="12.75" x14ac:dyDescent="0.2">
      <c r="B9" s="3" t="s">
        <v>41</v>
      </c>
      <c r="C9" s="11">
        <v>0.24</v>
      </c>
      <c r="I9" s="4"/>
    </row>
    <row r="10" spans="1:15" ht="12.75" x14ac:dyDescent="0.2">
      <c r="B10" s="3" t="s">
        <v>93</v>
      </c>
      <c r="C10" s="11">
        <v>0.05</v>
      </c>
      <c r="E10" s="3" t="s">
        <v>74</v>
      </c>
      <c r="F10" s="9" t="s">
        <v>46</v>
      </c>
      <c r="H10" s="3" t="s">
        <v>75</v>
      </c>
      <c r="I10" s="3">
        <v>12</v>
      </c>
    </row>
    <row r="11" spans="1:15" ht="12.75" x14ac:dyDescent="0.2">
      <c r="I11" s="4"/>
    </row>
    <row r="12" spans="1:15" ht="12.75" hidden="1" x14ac:dyDescent="0.2">
      <c r="C12" s="3">
        <v>1</v>
      </c>
      <c r="D12" s="3">
        <v>2</v>
      </c>
      <c r="E12" s="3">
        <v>3</v>
      </c>
      <c r="F12" s="3">
        <v>4</v>
      </c>
      <c r="G12" s="3">
        <v>5</v>
      </c>
      <c r="H12" s="3">
        <v>6</v>
      </c>
      <c r="I12" s="3">
        <v>7</v>
      </c>
      <c r="J12" s="3">
        <v>8</v>
      </c>
      <c r="K12" s="3">
        <v>9</v>
      </c>
      <c r="L12" s="3">
        <v>10</v>
      </c>
      <c r="M12" s="3">
        <v>11</v>
      </c>
      <c r="N12" s="3">
        <v>12</v>
      </c>
      <c r="O12" s="3">
        <v>13</v>
      </c>
    </row>
    <row r="13" spans="1:15" s="16" customFormat="1" ht="12.75" x14ac:dyDescent="0.2">
      <c r="B13" s="15" t="s">
        <v>0</v>
      </c>
      <c r="C13" s="15" t="str">
        <f>VLOOKUP($F$10&amp;C12,Tijdvakken!$A:$B,2,0)</f>
        <v>Januari</v>
      </c>
      <c r="D13" s="15" t="str">
        <f>VLOOKUP($F$10&amp;D12,Tijdvakken!$A:$B,2,0)</f>
        <v>Februari</v>
      </c>
      <c r="E13" s="15" t="str">
        <f>VLOOKUP($F$10&amp;E12,Tijdvakken!$A:$B,2,0)</f>
        <v>Maart</v>
      </c>
      <c r="F13" s="15" t="str">
        <f>VLOOKUP($F$10&amp;F12,Tijdvakken!$A:$B,2,0)</f>
        <v>April</v>
      </c>
      <c r="G13" s="15" t="str">
        <f>VLOOKUP($F$10&amp;G12,Tijdvakken!$A:$B,2,0)</f>
        <v>Mei</v>
      </c>
      <c r="H13" s="15" t="str">
        <f>VLOOKUP($F$10&amp;H12,Tijdvakken!$A:$B,2,0)</f>
        <v>Juni</v>
      </c>
      <c r="I13" s="15" t="str">
        <f>VLOOKUP($F$10&amp;I12,Tijdvakken!$A:$B,2,0)</f>
        <v>Juli</v>
      </c>
      <c r="J13" s="15" t="str">
        <f>VLOOKUP($F$10&amp;J12,Tijdvakken!$A:$B,2,0)</f>
        <v>Augustus</v>
      </c>
      <c r="K13" s="15" t="str">
        <f>VLOOKUP($F$10&amp;K12,Tijdvakken!$A:$B,2,0)</f>
        <v>September</v>
      </c>
      <c r="L13" s="15" t="str">
        <f>VLOOKUP($F$10&amp;L12,Tijdvakken!$A:$B,2,0)</f>
        <v>Oktober</v>
      </c>
      <c r="M13" s="15" t="str">
        <f>VLOOKUP($F$10&amp;M12,Tijdvakken!$A:$B,2,0)</f>
        <v>November</v>
      </c>
      <c r="N13" s="15" t="str">
        <f>VLOOKUP($F$10&amp;N12,Tijdvakken!$A:$B,2,0)</f>
        <v>December</v>
      </c>
      <c r="O13" s="15" t="e">
        <f>VLOOKUP($F$10&amp;O12,Tijdvakken!$A:$B,2,0)</f>
        <v>#N/A</v>
      </c>
    </row>
    <row r="14" spans="1:15" ht="12.75" x14ac:dyDescent="0.2">
      <c r="B14" s="6" t="s">
        <v>3</v>
      </c>
      <c r="C14" s="4">
        <f t="shared" ref="C14:O14" si="0">VLOOKUP(C13,TabelTijdvak,2,0)</f>
        <v>43101</v>
      </c>
      <c r="D14" s="4">
        <f t="shared" si="0"/>
        <v>43132</v>
      </c>
      <c r="E14" s="4">
        <f t="shared" si="0"/>
        <v>43160</v>
      </c>
      <c r="F14" s="4">
        <f t="shared" si="0"/>
        <v>43191</v>
      </c>
      <c r="G14" s="4">
        <f t="shared" si="0"/>
        <v>43221</v>
      </c>
      <c r="H14" s="4">
        <f t="shared" si="0"/>
        <v>43252</v>
      </c>
      <c r="I14" s="4">
        <f t="shared" si="0"/>
        <v>43282</v>
      </c>
      <c r="J14" s="4">
        <f t="shared" si="0"/>
        <v>43313</v>
      </c>
      <c r="K14" s="4">
        <f t="shared" si="0"/>
        <v>43344</v>
      </c>
      <c r="L14" s="4">
        <f t="shared" si="0"/>
        <v>43374</v>
      </c>
      <c r="M14" s="4">
        <f t="shared" si="0"/>
        <v>43405</v>
      </c>
      <c r="N14" s="4">
        <f t="shared" si="0"/>
        <v>43435</v>
      </c>
      <c r="O14" s="4" t="e">
        <f t="shared" si="0"/>
        <v>#N/A</v>
      </c>
    </row>
    <row r="15" spans="1:15" ht="12.75" x14ac:dyDescent="0.2">
      <c r="B15" s="6" t="s">
        <v>4</v>
      </c>
      <c r="C15" s="4">
        <f t="shared" ref="C15:O15" si="1">VLOOKUP(C13,TabelTijdvak,3,0)</f>
        <v>43131</v>
      </c>
      <c r="D15" s="4">
        <f t="shared" si="1"/>
        <v>43159</v>
      </c>
      <c r="E15" s="4">
        <f t="shared" si="1"/>
        <v>43190</v>
      </c>
      <c r="F15" s="4">
        <f t="shared" si="1"/>
        <v>43220</v>
      </c>
      <c r="G15" s="4">
        <f t="shared" si="1"/>
        <v>43251</v>
      </c>
      <c r="H15" s="4">
        <f t="shared" si="1"/>
        <v>43281</v>
      </c>
      <c r="I15" s="4">
        <f t="shared" si="1"/>
        <v>43312</v>
      </c>
      <c r="J15" s="4">
        <f t="shared" si="1"/>
        <v>43343</v>
      </c>
      <c r="K15" s="4">
        <f t="shared" si="1"/>
        <v>43373</v>
      </c>
      <c r="L15" s="4">
        <f t="shared" si="1"/>
        <v>43404</v>
      </c>
      <c r="M15" s="4">
        <f t="shared" si="1"/>
        <v>43434</v>
      </c>
      <c r="N15" s="4">
        <f t="shared" si="1"/>
        <v>43465</v>
      </c>
      <c r="O15" s="4" t="e">
        <f t="shared" si="1"/>
        <v>#N/A</v>
      </c>
    </row>
    <row r="16" spans="1:15" ht="12.75" x14ac:dyDescent="0.2">
      <c r="C16" s="4"/>
      <c r="D16" s="4"/>
      <c r="E16" s="4"/>
      <c r="F16" s="4"/>
      <c r="G16" s="4"/>
      <c r="H16" s="4"/>
      <c r="I16" s="4"/>
      <c r="J16" s="4"/>
      <c r="K16" s="4"/>
      <c r="L16" s="4"/>
      <c r="M16" s="4"/>
      <c r="N16" s="4"/>
      <c r="O16" s="4"/>
    </row>
    <row r="17" spans="2:15" ht="12.75" x14ac:dyDescent="0.2">
      <c r="B17" s="6" t="s">
        <v>32</v>
      </c>
      <c r="C17" s="4">
        <f t="shared" ref="C17:O17" si="2">IF(OR($F$7&gt;C15,AND($F$8&lt;C14,$F$8&lt;&gt;0)),"",MAX(C14,$F$7))</f>
        <v>43101</v>
      </c>
      <c r="D17" s="4">
        <f t="shared" si="2"/>
        <v>43132</v>
      </c>
      <c r="E17" s="4">
        <f t="shared" si="2"/>
        <v>43160</v>
      </c>
      <c r="F17" s="4">
        <f t="shared" si="2"/>
        <v>43191</v>
      </c>
      <c r="G17" s="4">
        <f t="shared" si="2"/>
        <v>43221</v>
      </c>
      <c r="H17" s="4">
        <f t="shared" si="2"/>
        <v>43252</v>
      </c>
      <c r="I17" s="4">
        <f t="shared" si="2"/>
        <v>43282</v>
      </c>
      <c r="J17" s="4">
        <f t="shared" si="2"/>
        <v>43313</v>
      </c>
      <c r="K17" s="4">
        <f t="shared" si="2"/>
        <v>43344</v>
      </c>
      <c r="L17" s="4">
        <f t="shared" si="2"/>
        <v>43374</v>
      </c>
      <c r="M17" s="4">
        <f t="shared" si="2"/>
        <v>43405</v>
      </c>
      <c r="N17" s="4">
        <f t="shared" si="2"/>
        <v>43435</v>
      </c>
      <c r="O17" s="4" t="e">
        <f t="shared" si="2"/>
        <v>#N/A</v>
      </c>
    </row>
    <row r="18" spans="2:15" ht="12.75" x14ac:dyDescent="0.2">
      <c r="B18" s="6" t="s">
        <v>33</v>
      </c>
      <c r="C18" s="4">
        <f t="shared" ref="C18:O18" si="3">IF(OR($F$7&gt;C15,AND($F$8&lt;C14,$F$8&lt;&gt;0)),"",MIN(C15,$F$8))</f>
        <v>43131</v>
      </c>
      <c r="D18" s="4">
        <f t="shared" si="3"/>
        <v>43159</v>
      </c>
      <c r="E18" s="4">
        <f t="shared" si="3"/>
        <v>43190</v>
      </c>
      <c r="F18" s="4">
        <f t="shared" si="3"/>
        <v>43220</v>
      </c>
      <c r="G18" s="4">
        <f t="shared" si="3"/>
        <v>43251</v>
      </c>
      <c r="H18" s="4">
        <f t="shared" si="3"/>
        <v>43281</v>
      </c>
      <c r="I18" s="4">
        <f t="shared" si="3"/>
        <v>43312</v>
      </c>
      <c r="J18" s="4">
        <f t="shared" si="3"/>
        <v>43343</v>
      </c>
      <c r="K18" s="4">
        <f t="shared" si="3"/>
        <v>43373</v>
      </c>
      <c r="L18" s="4">
        <f t="shared" si="3"/>
        <v>43404</v>
      </c>
      <c r="M18" s="4">
        <f t="shared" si="3"/>
        <v>43434</v>
      </c>
      <c r="N18" s="4">
        <f t="shared" si="3"/>
        <v>43465</v>
      </c>
      <c r="O18" s="4" t="e">
        <f t="shared" si="3"/>
        <v>#N/A</v>
      </c>
    </row>
    <row r="20" spans="2:15" ht="12.75" x14ac:dyDescent="0.2">
      <c r="B20" s="6" t="s">
        <v>34</v>
      </c>
      <c r="C20" s="10">
        <v>65000</v>
      </c>
      <c r="D20" s="10">
        <v>65000</v>
      </c>
      <c r="E20" s="10">
        <v>65000</v>
      </c>
      <c r="F20" s="10">
        <v>65000</v>
      </c>
      <c r="G20" s="10">
        <v>65000</v>
      </c>
      <c r="H20" s="10">
        <v>65000</v>
      </c>
      <c r="I20" s="10">
        <v>65000</v>
      </c>
      <c r="J20" s="10">
        <v>65000</v>
      </c>
      <c r="K20" s="10">
        <v>65000</v>
      </c>
      <c r="L20" s="10">
        <v>65000</v>
      </c>
      <c r="M20" s="10">
        <v>65000</v>
      </c>
      <c r="N20" s="10">
        <v>65000</v>
      </c>
      <c r="O20" s="10"/>
    </row>
    <row r="21" spans="2:15" ht="12.75" x14ac:dyDescent="0.2">
      <c r="B21" s="6" t="s">
        <v>43</v>
      </c>
      <c r="C21" s="9">
        <v>164.67</v>
      </c>
      <c r="D21" s="9">
        <v>164.67</v>
      </c>
      <c r="E21" s="9">
        <v>164.67</v>
      </c>
      <c r="F21" s="9">
        <v>164.67</v>
      </c>
      <c r="G21" s="9">
        <v>164.67</v>
      </c>
      <c r="H21" s="9">
        <v>164.67</v>
      </c>
      <c r="I21" s="9">
        <v>164.67</v>
      </c>
      <c r="J21" s="9">
        <v>164.67</v>
      </c>
      <c r="K21" s="9">
        <v>164.67</v>
      </c>
      <c r="L21" s="9">
        <v>164.67</v>
      </c>
      <c r="M21" s="9">
        <v>164.67</v>
      </c>
      <c r="N21" s="9">
        <v>164.67</v>
      </c>
      <c r="O21" s="9"/>
    </row>
    <row r="22" spans="2:15" ht="12.75" x14ac:dyDescent="0.2">
      <c r="B22" s="6" t="s">
        <v>35</v>
      </c>
      <c r="C22" s="9">
        <v>156</v>
      </c>
      <c r="D22" s="9">
        <v>156</v>
      </c>
      <c r="E22" s="9">
        <v>156</v>
      </c>
      <c r="F22" s="9">
        <v>156</v>
      </c>
      <c r="G22" s="9">
        <v>156</v>
      </c>
      <c r="H22" s="9">
        <v>156</v>
      </c>
      <c r="I22" s="9">
        <v>156</v>
      </c>
      <c r="J22" s="9">
        <v>156</v>
      </c>
      <c r="K22" s="9">
        <v>156</v>
      </c>
      <c r="L22" s="9">
        <v>156</v>
      </c>
      <c r="M22" s="9">
        <v>156</v>
      </c>
      <c r="N22" s="9">
        <v>156</v>
      </c>
      <c r="O22" s="9"/>
    </row>
    <row r="23" spans="2:15" ht="12.75" x14ac:dyDescent="0.2">
      <c r="B23" s="6" t="s">
        <v>99</v>
      </c>
      <c r="C23" s="9">
        <v>164.67</v>
      </c>
      <c r="D23" s="9">
        <v>164.67</v>
      </c>
      <c r="E23" s="9">
        <v>164.67</v>
      </c>
      <c r="F23" s="9">
        <v>164.67</v>
      </c>
      <c r="G23" s="9">
        <v>164.67</v>
      </c>
      <c r="H23" s="9">
        <v>164.67</v>
      </c>
      <c r="I23" s="9">
        <v>164.67</v>
      </c>
      <c r="J23" s="9">
        <v>164.67</v>
      </c>
      <c r="K23" s="9">
        <v>164.67</v>
      </c>
      <c r="L23" s="9">
        <v>164.67</v>
      </c>
      <c r="M23" s="9">
        <v>164.67</v>
      </c>
      <c r="N23" s="9">
        <v>164.67</v>
      </c>
      <c r="O23" s="9"/>
    </row>
    <row r="24" spans="2:15" ht="12.75" x14ac:dyDescent="0.2">
      <c r="B24" s="6" t="s">
        <v>36</v>
      </c>
      <c r="C24" s="13">
        <v>1</v>
      </c>
      <c r="D24" s="13">
        <v>1</v>
      </c>
      <c r="E24" s="13">
        <v>1</v>
      </c>
      <c r="F24" s="13">
        <v>1</v>
      </c>
      <c r="G24" s="13">
        <v>1</v>
      </c>
      <c r="H24" s="13">
        <v>1</v>
      </c>
      <c r="I24" s="13">
        <v>1</v>
      </c>
      <c r="J24" s="13">
        <v>1</v>
      </c>
      <c r="K24" s="13">
        <v>1</v>
      </c>
      <c r="L24" s="13">
        <v>1</v>
      </c>
      <c r="M24" s="13">
        <v>1</v>
      </c>
      <c r="N24" s="13">
        <v>1</v>
      </c>
      <c r="O24" s="13"/>
    </row>
    <row r="25" spans="2:15" ht="12.75" x14ac:dyDescent="0.2">
      <c r="B25" s="7"/>
    </row>
    <row r="26" spans="2:15" ht="12.75" x14ac:dyDescent="0.2">
      <c r="B26" s="3" t="s">
        <v>37</v>
      </c>
      <c r="C26" s="3">
        <f>ROUND(IF(AND(C14=C17,C15=C18),1,IF(C17="",0,(C18-C17+1)/(C15-C14+1))),4)</f>
        <v>1</v>
      </c>
      <c r="D26" s="3">
        <f t="shared" ref="D26:O26" si="4">ROUND(IF(AND(D14=D17,D15=D18),1,IF(D17="",0,(D18-D17+1)/(D15-D14+1))),4)</f>
        <v>1</v>
      </c>
      <c r="E26" s="3">
        <f t="shared" si="4"/>
        <v>1</v>
      </c>
      <c r="F26" s="3">
        <f t="shared" si="4"/>
        <v>1</v>
      </c>
      <c r="G26" s="3">
        <f t="shared" si="4"/>
        <v>1</v>
      </c>
      <c r="H26" s="3">
        <f t="shared" si="4"/>
        <v>1</v>
      </c>
      <c r="I26" s="3">
        <f t="shared" si="4"/>
        <v>1</v>
      </c>
      <c r="J26" s="3">
        <f t="shared" si="4"/>
        <v>1</v>
      </c>
      <c r="K26" s="3">
        <f t="shared" si="4"/>
        <v>1</v>
      </c>
      <c r="L26" s="3">
        <f t="shared" si="4"/>
        <v>1</v>
      </c>
      <c r="M26" s="3">
        <f t="shared" si="4"/>
        <v>1</v>
      </c>
      <c r="N26" s="3">
        <f t="shared" si="4"/>
        <v>1</v>
      </c>
      <c r="O26" s="3" t="e">
        <f t="shared" si="4"/>
        <v>#N/A</v>
      </c>
    </row>
    <row r="27" spans="2:15" ht="12.75" x14ac:dyDescent="0.2">
      <c r="B27" s="3" t="s">
        <v>42</v>
      </c>
      <c r="C27" s="7">
        <f>MIN(IF(C24&lt;&gt;"",C24,IF(AND(C21&lt;&gt;"",C22&lt;&gt;""),C21/C22,0)),1)</f>
        <v>1</v>
      </c>
      <c r="D27" s="7">
        <f t="shared" ref="D27:O27" si="5">MIN(IF(D24&lt;&gt;"",D24,IF(AND(D21&lt;&gt;"",D22&lt;&gt;""),D21/D22,0)),1)</f>
        <v>1</v>
      </c>
      <c r="E27" s="7">
        <f t="shared" si="5"/>
        <v>1</v>
      </c>
      <c r="F27" s="7">
        <f t="shared" si="5"/>
        <v>1</v>
      </c>
      <c r="G27" s="7">
        <f t="shared" si="5"/>
        <v>1</v>
      </c>
      <c r="H27" s="7">
        <f t="shared" si="5"/>
        <v>1</v>
      </c>
      <c r="I27" s="7">
        <f t="shared" si="5"/>
        <v>1</v>
      </c>
      <c r="J27" s="7">
        <f t="shared" si="5"/>
        <v>1</v>
      </c>
      <c r="K27" s="7">
        <f t="shared" si="5"/>
        <v>1</v>
      </c>
      <c r="L27" s="7">
        <f t="shared" si="5"/>
        <v>1</v>
      </c>
      <c r="M27" s="7">
        <f t="shared" si="5"/>
        <v>1</v>
      </c>
      <c r="N27" s="7">
        <f t="shared" si="5"/>
        <v>1</v>
      </c>
      <c r="O27" s="7">
        <f t="shared" si="5"/>
        <v>0</v>
      </c>
    </row>
    <row r="29" spans="2:15" ht="12.75" x14ac:dyDescent="0.2">
      <c r="B29" s="3" t="s">
        <v>83</v>
      </c>
      <c r="C29" s="5">
        <f t="shared" ref="C29:N29" si="6">IF(C17="",0,C20)</f>
        <v>65000</v>
      </c>
      <c r="D29" s="5">
        <f t="shared" si="6"/>
        <v>65000</v>
      </c>
      <c r="E29" s="5">
        <f t="shared" si="6"/>
        <v>65000</v>
      </c>
      <c r="F29" s="5">
        <f t="shared" si="6"/>
        <v>65000</v>
      </c>
      <c r="G29" s="5">
        <f t="shared" si="6"/>
        <v>65000</v>
      </c>
      <c r="H29" s="5">
        <f t="shared" si="6"/>
        <v>65000</v>
      </c>
      <c r="I29" s="5">
        <f t="shared" si="6"/>
        <v>65000</v>
      </c>
      <c r="J29" s="5">
        <f t="shared" si="6"/>
        <v>65000</v>
      </c>
      <c r="K29" s="5">
        <f t="shared" si="6"/>
        <v>65000</v>
      </c>
      <c r="L29" s="5">
        <f t="shared" si="6"/>
        <v>65000</v>
      </c>
      <c r="M29" s="5">
        <f t="shared" si="6"/>
        <v>65000</v>
      </c>
      <c r="N29" s="5">
        <f t="shared" si="6"/>
        <v>65000</v>
      </c>
      <c r="O29" s="5" t="e">
        <f t="shared" ref="O29" si="7">IF(O17="",0,O20*PRTijdvakkenMax)</f>
        <v>#N/A</v>
      </c>
    </row>
    <row r="30" spans="2:15" ht="12.75" x14ac:dyDescent="0.2">
      <c r="B30" s="3" t="s">
        <v>84</v>
      </c>
      <c r="C30" s="5">
        <f t="shared" ref="C30:O30" si="8">MAX(MIN(C29,PRMaxLoon)-PRFranchise,0)</f>
        <v>51656</v>
      </c>
      <c r="D30" s="5">
        <f t="shared" si="8"/>
        <v>51656</v>
      </c>
      <c r="E30" s="5">
        <f t="shared" si="8"/>
        <v>51656</v>
      </c>
      <c r="F30" s="5">
        <f t="shared" si="8"/>
        <v>51656</v>
      </c>
      <c r="G30" s="5">
        <f t="shared" si="8"/>
        <v>51656</v>
      </c>
      <c r="H30" s="5">
        <f t="shared" si="8"/>
        <v>51656</v>
      </c>
      <c r="I30" s="5">
        <f t="shared" si="8"/>
        <v>51656</v>
      </c>
      <c r="J30" s="5">
        <f t="shared" si="8"/>
        <v>51656</v>
      </c>
      <c r="K30" s="5">
        <f t="shared" si="8"/>
        <v>51656</v>
      </c>
      <c r="L30" s="5">
        <f t="shared" si="8"/>
        <v>51656</v>
      </c>
      <c r="M30" s="5">
        <f t="shared" si="8"/>
        <v>51656</v>
      </c>
      <c r="N30" s="5">
        <f t="shared" si="8"/>
        <v>51656</v>
      </c>
      <c r="O30" s="5" t="e">
        <f t="shared" si="8"/>
        <v>#N/A</v>
      </c>
    </row>
    <row r="31" spans="2:15" ht="12.75" x14ac:dyDescent="0.2">
      <c r="B31" s="3" t="s">
        <v>85</v>
      </c>
      <c r="C31" s="5">
        <f t="shared" ref="C31:O31" si="9">C30*C27</f>
        <v>51656</v>
      </c>
      <c r="D31" s="5">
        <f t="shared" si="9"/>
        <v>51656</v>
      </c>
      <c r="E31" s="5">
        <f t="shared" si="9"/>
        <v>51656</v>
      </c>
      <c r="F31" s="5">
        <f t="shared" si="9"/>
        <v>51656</v>
      </c>
      <c r="G31" s="5">
        <f t="shared" si="9"/>
        <v>51656</v>
      </c>
      <c r="H31" s="5">
        <f t="shared" si="9"/>
        <v>51656</v>
      </c>
      <c r="I31" s="5">
        <f t="shared" si="9"/>
        <v>51656</v>
      </c>
      <c r="J31" s="5">
        <f t="shared" si="9"/>
        <v>51656</v>
      </c>
      <c r="K31" s="5">
        <f t="shared" si="9"/>
        <v>51656</v>
      </c>
      <c r="L31" s="5">
        <f t="shared" si="9"/>
        <v>51656</v>
      </c>
      <c r="M31" s="5">
        <f t="shared" si="9"/>
        <v>51656</v>
      </c>
      <c r="N31" s="5">
        <f t="shared" si="9"/>
        <v>51656</v>
      </c>
      <c r="O31" s="5" t="e">
        <f t="shared" si="9"/>
        <v>#N/A</v>
      </c>
    </row>
    <row r="32" spans="2:15" ht="12.75" x14ac:dyDescent="0.2">
      <c r="B32" s="3" t="s">
        <v>73</v>
      </c>
      <c r="C32" s="5">
        <f t="shared" ref="C32:O32" si="10">C31*PRPremiePercentage</f>
        <v>12397.439999999999</v>
      </c>
      <c r="D32" s="5">
        <f t="shared" si="10"/>
        <v>12397.439999999999</v>
      </c>
      <c r="E32" s="5">
        <f t="shared" si="10"/>
        <v>12397.439999999999</v>
      </c>
      <c r="F32" s="5">
        <f t="shared" si="10"/>
        <v>12397.439999999999</v>
      </c>
      <c r="G32" s="5">
        <f t="shared" si="10"/>
        <v>12397.439999999999</v>
      </c>
      <c r="H32" s="5">
        <f t="shared" si="10"/>
        <v>12397.439999999999</v>
      </c>
      <c r="I32" s="5">
        <f t="shared" si="10"/>
        <v>12397.439999999999</v>
      </c>
      <c r="J32" s="5">
        <f t="shared" si="10"/>
        <v>12397.439999999999</v>
      </c>
      <c r="K32" s="5">
        <f t="shared" si="10"/>
        <v>12397.439999999999</v>
      </c>
      <c r="L32" s="5">
        <f t="shared" si="10"/>
        <v>12397.439999999999</v>
      </c>
      <c r="M32" s="5">
        <f t="shared" si="10"/>
        <v>12397.439999999999</v>
      </c>
      <c r="N32" s="5">
        <f t="shared" si="10"/>
        <v>12397.439999999999</v>
      </c>
      <c r="O32" s="5" t="e">
        <f t="shared" si="10"/>
        <v>#N/A</v>
      </c>
    </row>
    <row r="33" spans="2:15" ht="12.75" x14ac:dyDescent="0.2">
      <c r="C33" s="5"/>
      <c r="D33" s="5"/>
      <c r="E33" s="5"/>
      <c r="F33" s="5"/>
      <c r="G33" s="5"/>
      <c r="H33" s="5"/>
      <c r="I33" s="5"/>
      <c r="J33" s="5"/>
      <c r="K33" s="5"/>
      <c r="L33" s="5"/>
      <c r="M33" s="5"/>
      <c r="N33" s="5"/>
      <c r="O33" s="5"/>
    </row>
    <row r="34" spans="2:15" ht="12.75" x14ac:dyDescent="0.2">
      <c r="B34" s="6" t="s">
        <v>80</v>
      </c>
      <c r="C34" s="5">
        <f t="shared" ref="C34:O34" si="11">ROUND(C31/PRTijdvakkenMax*C26,2)</f>
        <v>4304.67</v>
      </c>
      <c r="D34" s="5">
        <f t="shared" si="11"/>
        <v>4304.67</v>
      </c>
      <c r="E34" s="5">
        <f t="shared" si="11"/>
        <v>4304.67</v>
      </c>
      <c r="F34" s="5">
        <f t="shared" si="11"/>
        <v>4304.67</v>
      </c>
      <c r="G34" s="5">
        <f t="shared" si="11"/>
        <v>4304.67</v>
      </c>
      <c r="H34" s="5">
        <f t="shared" si="11"/>
        <v>4304.67</v>
      </c>
      <c r="I34" s="5">
        <f t="shared" si="11"/>
        <v>4304.67</v>
      </c>
      <c r="J34" s="5">
        <f t="shared" si="11"/>
        <v>4304.67</v>
      </c>
      <c r="K34" s="5">
        <f t="shared" si="11"/>
        <v>4304.67</v>
      </c>
      <c r="L34" s="5">
        <f t="shared" si="11"/>
        <v>4304.67</v>
      </c>
      <c r="M34" s="5">
        <f t="shared" si="11"/>
        <v>4304.67</v>
      </c>
      <c r="N34" s="5">
        <f t="shared" si="11"/>
        <v>4304.67</v>
      </c>
      <c r="O34" s="5" t="e">
        <f t="shared" si="11"/>
        <v>#N/A</v>
      </c>
    </row>
    <row r="35" spans="2:15" ht="12.75" x14ac:dyDescent="0.2">
      <c r="B35" s="6" t="s">
        <v>44</v>
      </c>
      <c r="C35" s="5">
        <f>ROUND(C32/PRTijdvakkenMax*C26,2)</f>
        <v>1033.1199999999999</v>
      </c>
      <c r="D35" s="5">
        <f t="shared" ref="D35:O35" si="12">ROUND(D32/PRTijdvakkenMax*D26,2)</f>
        <v>1033.1199999999999</v>
      </c>
      <c r="E35" s="5">
        <f t="shared" si="12"/>
        <v>1033.1199999999999</v>
      </c>
      <c r="F35" s="5">
        <f t="shared" si="12"/>
        <v>1033.1199999999999</v>
      </c>
      <c r="G35" s="5">
        <f t="shared" si="12"/>
        <v>1033.1199999999999</v>
      </c>
      <c r="H35" s="5">
        <f t="shared" si="12"/>
        <v>1033.1199999999999</v>
      </c>
      <c r="I35" s="5">
        <f t="shared" si="12"/>
        <v>1033.1199999999999</v>
      </c>
      <c r="J35" s="5">
        <f t="shared" si="12"/>
        <v>1033.1199999999999</v>
      </c>
      <c r="K35" s="5">
        <f t="shared" si="12"/>
        <v>1033.1199999999999</v>
      </c>
      <c r="L35" s="5">
        <f t="shared" si="12"/>
        <v>1033.1199999999999</v>
      </c>
      <c r="M35" s="5">
        <f t="shared" si="12"/>
        <v>1033.1199999999999</v>
      </c>
      <c r="N35" s="5">
        <f t="shared" si="12"/>
        <v>1033.1199999999999</v>
      </c>
      <c r="O35" s="5" t="e">
        <f t="shared" si="12"/>
        <v>#N/A</v>
      </c>
    </row>
    <row r="36" spans="2:15" x14ac:dyDescent="0.3">
      <c r="B36" s="3" t="s">
        <v>45</v>
      </c>
      <c r="C36" s="5">
        <f>SUM($C35:C35)</f>
        <v>1033.1199999999999</v>
      </c>
      <c r="D36" s="5">
        <f>SUM($C35:D35)</f>
        <v>2066.2399999999998</v>
      </c>
      <c r="E36" s="5">
        <f>SUM($C35:E35)</f>
        <v>3099.3599999999997</v>
      </c>
      <c r="F36" s="5">
        <f>SUM($C35:F35)</f>
        <v>4132.4799999999996</v>
      </c>
      <c r="G36" s="5">
        <f>SUM($C35:G35)</f>
        <v>5165.5999999999995</v>
      </c>
      <c r="H36" s="5">
        <f>SUM($C35:H35)</f>
        <v>6198.7199999999993</v>
      </c>
      <c r="I36" s="5">
        <f>SUM($C35:I35)</f>
        <v>7231.8399999999992</v>
      </c>
      <c r="J36" s="5">
        <f>SUM($C35:J35)</f>
        <v>8264.9599999999991</v>
      </c>
      <c r="K36" s="5">
        <f>SUM($C35:K35)</f>
        <v>9298.0799999999981</v>
      </c>
      <c r="L36" s="5">
        <f>SUM($C35:L35)</f>
        <v>10331.199999999997</v>
      </c>
      <c r="M36" s="5">
        <f>SUM($C35:M35)</f>
        <v>11364.319999999996</v>
      </c>
      <c r="N36" s="5">
        <f>SUM($C35:N35)</f>
        <v>12397.439999999995</v>
      </c>
      <c r="O36" s="5" t="e">
        <f>SUM($C35:O35)</f>
        <v>#N/A</v>
      </c>
    </row>
    <row r="38" spans="2:15" x14ac:dyDescent="0.3">
      <c r="B38" s="3" t="s">
        <v>87</v>
      </c>
      <c r="C38" s="5">
        <f t="shared" ref="C38:N38" si="13">SUM(DLN_bijdrage*C34)</f>
        <v>215.23350000000002</v>
      </c>
      <c r="D38" s="5">
        <f t="shared" si="13"/>
        <v>215.23350000000002</v>
      </c>
      <c r="E38" s="5">
        <f t="shared" si="13"/>
        <v>215.23350000000002</v>
      </c>
      <c r="F38" s="5">
        <f t="shared" si="13"/>
        <v>215.23350000000002</v>
      </c>
      <c r="G38" s="5">
        <f t="shared" si="13"/>
        <v>215.23350000000002</v>
      </c>
      <c r="H38" s="5">
        <f t="shared" si="13"/>
        <v>215.23350000000002</v>
      </c>
      <c r="I38" s="5">
        <f t="shared" si="13"/>
        <v>215.23350000000002</v>
      </c>
      <c r="J38" s="5">
        <f t="shared" si="13"/>
        <v>215.23350000000002</v>
      </c>
      <c r="K38" s="5">
        <f t="shared" si="13"/>
        <v>215.23350000000002</v>
      </c>
      <c r="L38" s="5">
        <f t="shared" si="13"/>
        <v>215.23350000000002</v>
      </c>
      <c r="M38" s="5">
        <f t="shared" si="13"/>
        <v>215.23350000000002</v>
      </c>
      <c r="N38" s="5">
        <f t="shared" si="13"/>
        <v>215.23350000000002</v>
      </c>
    </row>
  </sheetData>
  <conditionalFormatting sqref="O1:O1048576">
    <cfRule type="expression" dxfId="0" priority="1">
      <formula>$I$10=12</formula>
    </cfRule>
  </conditionalFormatting>
  <dataValidations count="1">
    <dataValidation type="list" allowBlank="1" showInputMessage="1" showErrorMessage="1" sqref="F10">
      <formula1>"Maandelijks,4-wekelijks"</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tabColor theme="7" tint="0.59999389629810485"/>
  </sheetPr>
  <dimension ref="A1:D26"/>
  <sheetViews>
    <sheetView topLeftCell="B1" workbookViewId="0">
      <selection activeCell="B1" sqref="B1"/>
    </sheetView>
  </sheetViews>
  <sheetFormatPr defaultRowHeight="14.4" x14ac:dyDescent="0.3"/>
  <cols>
    <col min="1" max="1" width="14.44140625" hidden="1" customWidth="1"/>
    <col min="2" max="2" width="13.6640625" customWidth="1"/>
    <col min="3" max="3" width="14.33203125" customWidth="1"/>
    <col min="4" max="4" width="18.33203125" customWidth="1"/>
  </cols>
  <sheetData>
    <row r="1" spans="1:4" s="2" customFormat="1" ht="15" x14ac:dyDescent="0.25">
      <c r="A1" s="2" t="s">
        <v>72</v>
      </c>
      <c r="B1" s="2" t="s">
        <v>0</v>
      </c>
      <c r="C1" s="2" t="s">
        <v>1</v>
      </c>
      <c r="D1" s="2" t="s">
        <v>2</v>
      </c>
    </row>
    <row r="2" spans="1:4" ht="15" x14ac:dyDescent="0.25">
      <c r="A2" t="s">
        <v>47</v>
      </c>
      <c r="B2" t="s">
        <v>7</v>
      </c>
      <c r="C2" s="1">
        <v>43101</v>
      </c>
      <c r="D2" s="1">
        <v>43131</v>
      </c>
    </row>
    <row r="3" spans="1:4" ht="15" x14ac:dyDescent="0.25">
      <c r="A3" t="s">
        <v>48</v>
      </c>
      <c r="B3" t="s">
        <v>8</v>
      </c>
      <c r="C3" s="1">
        <v>43132</v>
      </c>
      <c r="D3" s="1">
        <v>43159</v>
      </c>
    </row>
    <row r="4" spans="1:4" ht="15" x14ac:dyDescent="0.25">
      <c r="A4" t="s">
        <v>49</v>
      </c>
      <c r="B4" t="s">
        <v>9</v>
      </c>
      <c r="C4" s="1">
        <v>43160</v>
      </c>
      <c r="D4" s="1">
        <v>43190</v>
      </c>
    </row>
    <row r="5" spans="1:4" ht="15" x14ac:dyDescent="0.25">
      <c r="A5" t="s">
        <v>50</v>
      </c>
      <c r="B5" t="s">
        <v>10</v>
      </c>
      <c r="C5" s="1">
        <v>43191</v>
      </c>
      <c r="D5" s="1">
        <v>43220</v>
      </c>
    </row>
    <row r="6" spans="1:4" ht="15" x14ac:dyDescent="0.25">
      <c r="A6" t="s">
        <v>51</v>
      </c>
      <c r="B6" t="s">
        <v>11</v>
      </c>
      <c r="C6" s="1">
        <v>43221</v>
      </c>
      <c r="D6" s="1">
        <v>43251</v>
      </c>
    </row>
    <row r="7" spans="1:4" ht="15" x14ac:dyDescent="0.25">
      <c r="A7" t="s">
        <v>52</v>
      </c>
      <c r="B7" t="s">
        <v>12</v>
      </c>
      <c r="C7" s="1">
        <v>43252</v>
      </c>
      <c r="D7" s="1">
        <v>43281</v>
      </c>
    </row>
    <row r="8" spans="1:4" ht="15" x14ac:dyDescent="0.25">
      <c r="A8" t="s">
        <v>53</v>
      </c>
      <c r="B8" t="s">
        <v>13</v>
      </c>
      <c r="C8" s="1">
        <v>43282</v>
      </c>
      <c r="D8" s="1">
        <v>43312</v>
      </c>
    </row>
    <row r="9" spans="1:4" ht="15" x14ac:dyDescent="0.25">
      <c r="A9" t="s">
        <v>54</v>
      </c>
      <c r="B9" t="s">
        <v>14</v>
      </c>
      <c r="C9" s="1">
        <v>43313</v>
      </c>
      <c r="D9" s="1">
        <v>43343</v>
      </c>
    </row>
    <row r="10" spans="1:4" ht="15" x14ac:dyDescent="0.25">
      <c r="A10" t="s">
        <v>55</v>
      </c>
      <c r="B10" t="s">
        <v>15</v>
      </c>
      <c r="C10" s="1">
        <v>43344</v>
      </c>
      <c r="D10" s="1">
        <v>43373</v>
      </c>
    </row>
    <row r="11" spans="1:4" ht="15" x14ac:dyDescent="0.25">
      <c r="A11" t="s">
        <v>56</v>
      </c>
      <c r="B11" t="s">
        <v>16</v>
      </c>
      <c r="C11" s="1">
        <v>43374</v>
      </c>
      <c r="D11" s="1">
        <v>43404</v>
      </c>
    </row>
    <row r="12" spans="1:4" ht="15" x14ac:dyDescent="0.25">
      <c r="A12" t="s">
        <v>57</v>
      </c>
      <c r="B12" t="s">
        <v>17</v>
      </c>
      <c r="C12" s="1">
        <v>43405</v>
      </c>
      <c r="D12" s="1">
        <v>43434</v>
      </c>
    </row>
    <row r="13" spans="1:4" ht="15" x14ac:dyDescent="0.25">
      <c r="A13" t="s">
        <v>58</v>
      </c>
      <c r="B13" t="s">
        <v>18</v>
      </c>
      <c r="C13" s="1">
        <v>43435</v>
      </c>
      <c r="D13" s="1">
        <v>43465</v>
      </c>
    </row>
    <row r="14" spans="1:4" ht="15" x14ac:dyDescent="0.25">
      <c r="A14" t="s">
        <v>59</v>
      </c>
      <c r="B14" t="s">
        <v>19</v>
      </c>
      <c r="C14" s="1">
        <v>43101</v>
      </c>
      <c r="D14" s="1">
        <v>43128</v>
      </c>
    </row>
    <row r="15" spans="1:4" ht="15" x14ac:dyDescent="0.25">
      <c r="A15" t="s">
        <v>60</v>
      </c>
      <c r="B15" t="s">
        <v>20</v>
      </c>
      <c r="C15" s="1">
        <v>43129</v>
      </c>
      <c r="D15" s="1">
        <v>43156</v>
      </c>
    </row>
    <row r="16" spans="1:4" ht="15" x14ac:dyDescent="0.25">
      <c r="A16" t="s">
        <v>61</v>
      </c>
      <c r="B16" t="s">
        <v>21</v>
      </c>
      <c r="C16" s="1">
        <v>43157</v>
      </c>
      <c r="D16" s="1">
        <v>43184</v>
      </c>
    </row>
    <row r="17" spans="1:4" ht="15" x14ac:dyDescent="0.25">
      <c r="A17" t="s">
        <v>62</v>
      </c>
      <c r="B17" t="s">
        <v>22</v>
      </c>
      <c r="C17" s="1">
        <v>43185</v>
      </c>
      <c r="D17" s="1">
        <v>43212</v>
      </c>
    </row>
    <row r="18" spans="1:4" ht="15" x14ac:dyDescent="0.25">
      <c r="A18" t="s">
        <v>63</v>
      </c>
      <c r="B18" t="s">
        <v>23</v>
      </c>
      <c r="C18" s="1">
        <v>43213</v>
      </c>
      <c r="D18" s="1">
        <v>43240</v>
      </c>
    </row>
    <row r="19" spans="1:4" ht="15" x14ac:dyDescent="0.25">
      <c r="A19" t="s">
        <v>64</v>
      </c>
      <c r="B19" t="s">
        <v>24</v>
      </c>
      <c r="C19" s="1">
        <v>43241</v>
      </c>
      <c r="D19" s="1">
        <v>43268</v>
      </c>
    </row>
    <row r="20" spans="1:4" ht="15" x14ac:dyDescent="0.25">
      <c r="A20" t="s">
        <v>65</v>
      </c>
      <c r="B20" t="s">
        <v>25</v>
      </c>
      <c r="C20" s="1">
        <v>43269</v>
      </c>
      <c r="D20" s="1">
        <v>43296</v>
      </c>
    </row>
    <row r="21" spans="1:4" ht="15" x14ac:dyDescent="0.25">
      <c r="A21" t="s">
        <v>66</v>
      </c>
      <c r="B21" t="s">
        <v>26</v>
      </c>
      <c r="C21" s="1">
        <v>43297</v>
      </c>
      <c r="D21" s="1">
        <v>43324</v>
      </c>
    </row>
    <row r="22" spans="1:4" ht="15" x14ac:dyDescent="0.25">
      <c r="A22" t="s">
        <v>67</v>
      </c>
      <c r="B22" t="s">
        <v>27</v>
      </c>
      <c r="C22" s="1">
        <v>43325</v>
      </c>
      <c r="D22" s="1">
        <v>43352</v>
      </c>
    </row>
    <row r="23" spans="1:4" x14ac:dyDescent="0.3">
      <c r="A23" t="s">
        <v>68</v>
      </c>
      <c r="B23" t="s">
        <v>28</v>
      </c>
      <c r="C23" s="1">
        <v>43353</v>
      </c>
      <c r="D23" s="1">
        <v>43380</v>
      </c>
    </row>
    <row r="24" spans="1:4" x14ac:dyDescent="0.3">
      <c r="A24" t="s">
        <v>69</v>
      </c>
      <c r="B24" t="s">
        <v>29</v>
      </c>
      <c r="C24" s="1">
        <v>43381</v>
      </c>
      <c r="D24" s="1">
        <v>43408</v>
      </c>
    </row>
    <row r="25" spans="1:4" x14ac:dyDescent="0.3">
      <c r="A25" t="s">
        <v>70</v>
      </c>
      <c r="B25" t="s">
        <v>30</v>
      </c>
      <c r="C25" s="1">
        <v>43409</v>
      </c>
      <c r="D25" s="1">
        <v>43436</v>
      </c>
    </row>
    <row r="26" spans="1:4" x14ac:dyDescent="0.3">
      <c r="A26" t="s">
        <v>71</v>
      </c>
      <c r="B26" t="s">
        <v>31</v>
      </c>
      <c r="C26" s="1">
        <v>43437</v>
      </c>
      <c r="D26" s="1">
        <v>43465</v>
      </c>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F3CC896450E540A40D028CB6BAA9B6" ma:contentTypeVersion="1" ma:contentTypeDescription="Een nieuw document maken." ma:contentTypeScope="" ma:versionID="bb06f13b4ea6697694a878b99fa3acba">
  <xsd:schema xmlns:xsd="http://www.w3.org/2001/XMLSchema" xmlns:xs="http://www.w3.org/2001/XMLSchema" xmlns:p="http://schemas.microsoft.com/office/2006/metadata/properties" targetNamespace="http://schemas.microsoft.com/office/2006/metadata/properties" ma:root="true" ma:fieldsID="1e80a65037315a86773275c62a3c59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Inhoudstype" ma:readOnly="true"/>
        <xsd:element ref="dc:title" minOccurs="0" maxOccurs="1" ma:index="3"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5225CF4-E8E6-48CD-8DB4-2DAFFCB26C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523FB9B-562C-41F6-917B-31350B92E3F0}">
  <ds:schemaRefs>
    <ds:schemaRef ds:uri="http://schemas.microsoft.com/sharepoint/v3/contenttype/forms"/>
  </ds:schemaRefs>
</ds:datastoreItem>
</file>

<file path=customXml/itemProps3.xml><?xml version="1.0" encoding="utf-8"?>
<ds:datastoreItem xmlns:ds="http://schemas.openxmlformats.org/officeDocument/2006/customXml" ds:itemID="{5E038121-1ADB-4162-A982-9F4A93628402}">
  <ds:schemaRefs>
    <ds:schemaRef ds:uri="http://purl.org/dc/dcmitype/"/>
    <ds:schemaRef ds:uri="http://schemas.microsoft.com/office/2006/documentManagement/types"/>
    <ds:schemaRef ds:uri="http://purl.org/dc/terms/"/>
    <ds:schemaRef ds:uri="http://purl.org/dc/elements/1.1/"/>
    <ds:schemaRef ds:uri="http://schemas.microsoft.com/office/2006/metadata/properties"/>
    <ds:schemaRef ds:uri="http://www.w3.org/XML/1998/namespace"/>
    <ds:schemaRef ds:uri="http://schemas.openxmlformats.org/package/2006/metadata/core-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12</vt:i4>
      </vt:variant>
      <vt:variant>
        <vt:lpstr>Benoemde bereiken</vt:lpstr>
      </vt:variant>
      <vt:variant>
        <vt:i4>6</vt:i4>
      </vt:variant>
    </vt:vector>
  </HeadingPairs>
  <TitlesOfParts>
    <vt:vector size="18" baseType="lpstr">
      <vt:lpstr>Versiebeheer</vt:lpstr>
      <vt:lpstr>Uitgangspunten</vt:lpstr>
      <vt:lpstr>Voorbeeldsituaties</vt:lpstr>
      <vt:lpstr>Primo in-uitdienst</vt:lpstr>
      <vt:lpstr>Primo PT-wijziging</vt:lpstr>
      <vt:lpstr>Primo max grondslag</vt:lpstr>
      <vt:lpstr>Primo promotieperiodiek</vt:lpstr>
      <vt:lpstr>Primo uren&gt;100%</vt:lpstr>
      <vt:lpstr>Tijdvakken</vt:lpstr>
      <vt:lpstr>AOP-premie</vt:lpstr>
      <vt:lpstr>Oproepkrachten</vt:lpstr>
      <vt:lpstr>Netto DC-regeling</vt:lpstr>
      <vt:lpstr>DLN_bijdrage</vt:lpstr>
      <vt:lpstr>PRFranchise</vt:lpstr>
      <vt:lpstr>PRMaxLoon</vt:lpstr>
      <vt:lpstr>PRPremiePercentage</vt:lpstr>
      <vt:lpstr>PRTijdvakkenMax</vt:lpstr>
      <vt:lpstr>TabelTijdvak</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Siebe de Korte</dc:creator>
  <cp:lastModifiedBy>Hoek, RM (René)</cp:lastModifiedBy>
  <dcterms:created xsi:type="dcterms:W3CDTF">2017-05-07T06:44:50Z</dcterms:created>
  <dcterms:modified xsi:type="dcterms:W3CDTF">2019-05-08T07:09:12Z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0x010100E7F3CC896450E540A40D028CB6BAA9B6</vt:lpwstr>
  </property>
  <property fmtid="{D5CDD505-2E9C-101B-9397-08002B2CF9AE}" pid="3" name="Order">
    <vt:r8>104000</vt:r8>
  </property>
</Properties>
</file>